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35" windowHeight="2655" tabRatio="599" firstSheet="2" activeTab="2"/>
  </bookViews>
  <sheets>
    <sheet name="D1" sheetId="1" state="hidden" r:id="rId1"/>
    <sheet name="Sheet1" sheetId="2" state="hidden" r:id="rId2"/>
    <sheet name="Income Statement" sheetId="3" r:id="rId3"/>
    <sheet name="Balance Sheet" sheetId="4" r:id="rId4"/>
    <sheet name="Notes" sheetId="5" r:id="rId5"/>
    <sheet name="D2" sheetId="6" state="hidden" r:id="rId6"/>
  </sheets>
  <definedNames>
    <definedName name="_xlnm.Print_Area" localSheetId="4">'Notes'!$A$1:$E$227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<sst xmlns="http://schemas.openxmlformats.org/spreadsheetml/2006/main" count="475" uniqueCount="314">
  <si>
    <t>PSC INDUSTRIES BERHAD</t>
  </si>
  <si>
    <t>PSC</t>
  </si>
  <si>
    <t>PSCI</t>
  </si>
  <si>
    <t>SFI</t>
  </si>
  <si>
    <t>SFS</t>
  </si>
  <si>
    <t>SMS</t>
  </si>
  <si>
    <t>PSCA</t>
  </si>
  <si>
    <t>STSB</t>
  </si>
  <si>
    <t>SDSB</t>
  </si>
  <si>
    <t>TOTAL</t>
  </si>
  <si>
    <t>DR</t>
  </si>
  <si>
    <t>CR</t>
  </si>
  <si>
    <t>MINORITY INTEREST</t>
  </si>
  <si>
    <t>Stocks</t>
  </si>
  <si>
    <t>Taxation</t>
  </si>
  <si>
    <t>PSC GROUP</t>
  </si>
  <si>
    <t>Turnover</t>
  </si>
  <si>
    <t>Exceptional items</t>
  </si>
  <si>
    <t>Profit after taxation</t>
  </si>
  <si>
    <t>VARIANCE</t>
  </si>
  <si>
    <t>BUDGET</t>
  </si>
  <si>
    <t>Investment income</t>
  </si>
  <si>
    <t>Other income including interest income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</si>
  <si>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</si>
  <si>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</si>
  <si>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</si>
  <si>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</si>
  <si>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</si>
  <si>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amortisation, exceptional items but</t>
  </si>
  <si>
    <t>before income tax, minority interests and</t>
  </si>
  <si>
    <t>extraordinary items</t>
  </si>
  <si>
    <t>Share in the results of associated</t>
  </si>
  <si>
    <t>companies</t>
  </si>
  <si>
    <t>interests and extraordinary items</t>
  </si>
  <si>
    <t xml:space="preserve">Profit/(loss) after taxation </t>
  </si>
  <si>
    <t>attributable to members of the company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</si>
  <si>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</si>
  <si>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</si>
  <si>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</si>
  <si>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</si>
  <si>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</si>
  <si>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(i)</t>
  </si>
  <si>
    <t>(ii)</t>
  </si>
  <si>
    <t>WMI</t>
  </si>
  <si>
    <t>PSCT</t>
  </si>
  <si>
    <t>PSCND</t>
  </si>
  <si>
    <t>DDI</t>
  </si>
  <si>
    <t>UMC</t>
  </si>
  <si>
    <t>PSCM</t>
  </si>
  <si>
    <t>PENANG SHIPBUILDING &amp; CONSTRUCTION SDN BHD</t>
  </si>
  <si>
    <t>PSC-STN</t>
  </si>
  <si>
    <t>The figures have not been audited.</t>
  </si>
  <si>
    <t>CONSOLIDATED INCOME STATEMENT</t>
  </si>
  <si>
    <t>CURRENT</t>
  </si>
  <si>
    <t>PRECEDING YEAR</t>
  </si>
  <si>
    <t>YEAR</t>
  </si>
  <si>
    <t>CORRESPONDING</t>
  </si>
  <si>
    <t>RM'000</t>
  </si>
  <si>
    <t>(a)</t>
  </si>
  <si>
    <t>(b)</t>
  </si>
  <si>
    <t>(c)</t>
  </si>
  <si>
    <t>(d)</t>
  </si>
  <si>
    <t>(e)</t>
  </si>
  <si>
    <t>(f)</t>
  </si>
  <si>
    <t>(g)</t>
  </si>
  <si>
    <t>(h)</t>
  </si>
  <si>
    <t>before deducting minority interests</t>
  </si>
  <si>
    <t>Less minority interests</t>
  </si>
  <si>
    <t>(j)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</si>
  <si>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</si>
  <si>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</si>
  <si>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</si>
  <si>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</si>
  <si>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</si>
  <si>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</si>
  <si>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Basic (based on </t>
  </si>
  <si>
    <t>ordinary shares) (sen)</t>
  </si>
  <si>
    <t>Fully diluted (based on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</si>
  <si>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</si>
  <si>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</si>
  <si>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</si>
  <si>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</si>
  <si>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</si>
  <si>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</si>
  <si>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</si>
  <si>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</si>
  <si>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Intangible Assets</t>
  </si>
  <si>
    <t>Trade Debtors</t>
  </si>
  <si>
    <t>Others</t>
  </si>
  <si>
    <t>Current Liabilities</t>
  </si>
  <si>
    <t>Trade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</si>
  <si>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</si>
  <si>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</si>
  <si>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</si>
  <si>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</si>
  <si>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</si>
  <si>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</si>
  <si>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</si>
  <si>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</si>
  <si>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</si>
  <si>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</si>
  <si>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PSC G</t>
  </si>
  <si>
    <t>PSCI G</t>
  </si>
  <si>
    <t>Adjustment</t>
  </si>
  <si>
    <t>%</t>
  </si>
  <si>
    <t>HSC</t>
  </si>
  <si>
    <t>AERO</t>
  </si>
  <si>
    <t>PSCG</t>
  </si>
  <si>
    <t>Shareholding</t>
  </si>
  <si>
    <t>Other Income</t>
  </si>
  <si>
    <t>Operating Profit before</t>
  </si>
  <si>
    <t xml:space="preserve">  interest on borrowings,</t>
  </si>
  <si>
    <t xml:space="preserve">  depn &amp; amortn</t>
  </si>
  <si>
    <t>Depreciation &amp; Amort'n</t>
  </si>
  <si>
    <t>Profit before tax &amp; MI</t>
  </si>
  <si>
    <t>Minority Interest</t>
  </si>
  <si>
    <t>Profit After Tax &amp; MI</t>
  </si>
  <si>
    <t>30/6/99</t>
  </si>
  <si>
    <t>Dividend per share</t>
  </si>
  <si>
    <t>Dividend Description</t>
  </si>
  <si>
    <t>AS AT END OF CURRENT QUARTER</t>
  </si>
  <si>
    <t>AS AT PRECEDING FINANCIAL</t>
  </si>
  <si>
    <t>INDIVIDUAL PERIOD</t>
  </si>
  <si>
    <t>CUMULATIVE PERIOD</t>
  </si>
  <si>
    <t>Deferred Expenditure</t>
  </si>
  <si>
    <t>Investment Properties</t>
  </si>
  <si>
    <t>Investments</t>
  </si>
  <si>
    <t>Deferred Assets</t>
  </si>
  <si>
    <t>Goodwill On Consolidation</t>
  </si>
  <si>
    <t>Other Debtors and prepayments</t>
  </si>
  <si>
    <t>Deposits with Licensed Banks and other Corporation</t>
  </si>
  <si>
    <t>Cash and Bank Balances</t>
  </si>
  <si>
    <t>Other Creditors and Accrued liabilities</t>
  </si>
  <si>
    <t>Term Loans</t>
  </si>
  <si>
    <t>Other Bank Borrowings</t>
  </si>
  <si>
    <t>Proposed Dividend</t>
  </si>
  <si>
    <t>Exchange Fluctuation Reserve</t>
  </si>
  <si>
    <t>Net tangible assets per share (RM)</t>
  </si>
  <si>
    <t>Manufacturing</t>
  </si>
  <si>
    <t>Trading</t>
  </si>
  <si>
    <t>Construction</t>
  </si>
  <si>
    <t>(Company No.: 11106-V)</t>
  </si>
  <si>
    <t>NOTES TO THE UNAUDITED FINANCIAL STATEMENTS</t>
  </si>
  <si>
    <t>Accounting Policies</t>
  </si>
  <si>
    <t>The accounts of the Group are prepared using the same accounting policies, method of computation</t>
  </si>
  <si>
    <t xml:space="preserve">and basis of consolidation as those used in the preparation of the most recent annual financial </t>
  </si>
  <si>
    <t>statement.</t>
  </si>
  <si>
    <t>Exceptional Items</t>
  </si>
  <si>
    <t>Extraordinary Items</t>
  </si>
  <si>
    <t>Pre-acquisition Profits / (Losses)</t>
  </si>
  <si>
    <t>Profits / (Losses) on Sale of Investment and/or Properties</t>
  </si>
  <si>
    <t>Quoted Securities</t>
  </si>
  <si>
    <t>Changes in the Composition of the Group</t>
  </si>
  <si>
    <t>Status of Corporate Proposals</t>
  </si>
  <si>
    <t>Page 1</t>
  </si>
  <si>
    <t>Seasonal or Cyclical Factors</t>
  </si>
  <si>
    <t>Details of Issuances and Repayment of Debt</t>
  </si>
  <si>
    <t xml:space="preserve">There were no issuances and repayment of debts and equity securities, share buy-backs, </t>
  </si>
  <si>
    <t>Group Borrowings and Debt Securities</t>
  </si>
  <si>
    <t>RM '000</t>
  </si>
  <si>
    <t xml:space="preserve">     Secured</t>
  </si>
  <si>
    <t xml:space="preserve">     Unsecured</t>
  </si>
  <si>
    <t>Sub - Total</t>
  </si>
  <si>
    <t>B) Short Term Borrowings:</t>
  </si>
  <si>
    <t>A) Long Term Borrowings:</t>
  </si>
  <si>
    <t>Contingent Liabilities</t>
  </si>
  <si>
    <t>Off Balance Sheet Financial Instruments</t>
  </si>
  <si>
    <t>There were no material financial instruments with off balance sheet risk during the current financial</t>
  </si>
  <si>
    <t>Material Litigation</t>
  </si>
  <si>
    <t>The Group is not engaged in any material litigation as at the date of this announcement.</t>
  </si>
  <si>
    <t>Segmental Reporting</t>
  </si>
  <si>
    <t>Assets</t>
  </si>
  <si>
    <t>Employed</t>
  </si>
  <si>
    <t>Page 2</t>
  </si>
  <si>
    <t>Review of Performance</t>
  </si>
  <si>
    <t>Current Year Prospects</t>
  </si>
  <si>
    <t>Variance of Actual Profit from Forecast Profit</t>
  </si>
  <si>
    <t>Not Applicable</t>
  </si>
  <si>
    <t>Dividend</t>
  </si>
  <si>
    <t>Page 3</t>
  </si>
  <si>
    <t>R. RAJAKUMARAN A/L M. RAJADURAI (MAICSA 7003699)</t>
  </si>
  <si>
    <t>Company Secretary</t>
  </si>
  <si>
    <t>Kuala Lumpur</t>
  </si>
  <si>
    <t>(The figures have not been audited)</t>
  </si>
  <si>
    <t>QUARTER</t>
  </si>
  <si>
    <t>Current Assets</t>
  </si>
  <si>
    <t>Net Current Assets / (Liabilities)</t>
  </si>
  <si>
    <t>Other Reserve</t>
  </si>
  <si>
    <t>There were no profits on sale of Investments and/or Properties for the current financial period ended</t>
  </si>
  <si>
    <t>There were no purchase or disposal of quoted securities for the current financial period ended</t>
  </si>
  <si>
    <t>share cancellations, shares held as treasury shares and resale of treasury shares during the</t>
  </si>
  <si>
    <t>Contingent liabilities as at the date of this report are as follows:</t>
  </si>
  <si>
    <t>Guarantees to financial institution on behalf of third parties</t>
  </si>
  <si>
    <t>Freehold land of a subsidiary company pledged for the banking facilities</t>
  </si>
  <si>
    <t xml:space="preserve">  on behalf of Holding Company</t>
  </si>
  <si>
    <t xml:space="preserve">Shares in a subsidiary company pledged for the banking facilities on </t>
  </si>
  <si>
    <t xml:space="preserve">  behalf of Holding Company</t>
  </si>
  <si>
    <t>Profit</t>
  </si>
  <si>
    <t>Before</t>
  </si>
  <si>
    <t>Year 2000 (Y2K) Compliance</t>
  </si>
  <si>
    <t>The Group does not expect uncertainties associated with the year 2000 millennium</t>
  </si>
  <si>
    <t>bug to adversely affect its business operations and services to its customers.</t>
  </si>
  <si>
    <t>Precautionary measure such as a contingency plans have been formulated to</t>
  </si>
  <si>
    <t>ensure minimal disruptions to the activities of the Group. All the critical operational</t>
  </si>
  <si>
    <t>system in the Group's businesses are year 2000 ready and compliant.</t>
  </si>
  <si>
    <t>Consolidated Profit &amp; Loss Account as at 31st December 1999</t>
  </si>
  <si>
    <t>A) By business segment</t>
  </si>
  <si>
    <t>B) By geographical segment</t>
  </si>
  <si>
    <t>Malaysia</t>
  </si>
  <si>
    <t>Australia</t>
  </si>
  <si>
    <t>Republic of Ghana</t>
  </si>
  <si>
    <t>88.07%/100%</t>
  </si>
  <si>
    <t>WMI%</t>
  </si>
  <si>
    <t>*100% Owned by PSC effective 26/10/1999</t>
  </si>
  <si>
    <t>PROFIT &amp; LOSS ACCOUNTS</t>
  </si>
  <si>
    <t>PSC INDUSTRIES BERHAD (THE GROUP)</t>
  </si>
  <si>
    <t>TURNOVER</t>
  </si>
  <si>
    <t>OPERATING PROFIT</t>
  </si>
  <si>
    <t>EXCEPTIONAL ITEM</t>
  </si>
  <si>
    <t>PROFIT BEFORE TAX</t>
  </si>
  <si>
    <t>TAXATION</t>
  </si>
  <si>
    <t>PROFIT AFTER TAX</t>
  </si>
  <si>
    <t>PROFIT AFTER TAX &amp; MI</t>
  </si>
  <si>
    <t>AUDITED</t>
  </si>
  <si>
    <t>UNAUDITED</t>
  </si>
  <si>
    <t>SCENARIO 1</t>
  </si>
  <si>
    <t>SCENARIO 2</t>
  </si>
  <si>
    <t>SCENARIO 3</t>
  </si>
  <si>
    <t>SCENARIO 4</t>
  </si>
  <si>
    <t>SCENARIO 5</t>
  </si>
  <si>
    <t>b) RM35,618,690 attributable profit recognised from Albania project which need to be written off</t>
  </si>
  <si>
    <t xml:space="preserve">    and should be charged to profit &amp; loss account instead of expenditure carried forward</t>
  </si>
  <si>
    <t>d) RM2,900,000 due from Tohwa Sedap Sdn Bhd shown in PSCI's account which need to be written off</t>
  </si>
  <si>
    <t>a) RM21,495,200 long overdue debtors in PSC's account which need to be written off.</t>
  </si>
  <si>
    <t xml:space="preserve">c) RM3,206,576 expenses carried forward since 1998 for the intended projects which PSC failed to secure in 1999 </t>
  </si>
  <si>
    <t>In total, RM63,220,466 could be add up to the Group losses if the above issues can't be resolved</t>
  </si>
  <si>
    <t xml:space="preserve">With assumption that Business Focus will guarantee profit of 10% for all EPMI project on the ground that this is the </t>
  </si>
  <si>
    <t>1st retrofit project carried out by PSC</t>
  </si>
  <si>
    <t>ground that the Group will award the OPV infrastructure work to them.</t>
  </si>
  <si>
    <t>With assumption that Business Focus will absorb the interest on RM105 million loan from PAB.</t>
  </si>
  <si>
    <t>(cost saving = RM10,932,652)</t>
  </si>
  <si>
    <t>Long overdue debtors in PSC's account which need to be written off:</t>
  </si>
  <si>
    <t>Usaha Hebat Sdn Bhd (under liquidation)</t>
  </si>
  <si>
    <t>Lenser Automation Sdn Bhd</t>
  </si>
  <si>
    <t>Lada Langkawi Sdn Bhd</t>
  </si>
  <si>
    <t>Lembaga Tabung Angkatan Tentera</t>
  </si>
  <si>
    <t>Permodalan Perak Berhad</t>
  </si>
  <si>
    <t>Suria Barisan Sdn Bhd</t>
  </si>
  <si>
    <t>UIA project</t>
  </si>
  <si>
    <t>PSC Navitalia</t>
  </si>
  <si>
    <t>MARA Shipyard</t>
  </si>
  <si>
    <t>Penang Marine Club</t>
  </si>
  <si>
    <t>Expenditure carried forward which need to be charged to profit &amp; loss in view of failure to secure the project</t>
  </si>
  <si>
    <t>Shell Sarawak Berhad</t>
  </si>
  <si>
    <t>TOTAL Thailand</t>
  </si>
  <si>
    <t>IPC</t>
  </si>
  <si>
    <t>World Trade Center Tirana, Albania</t>
  </si>
  <si>
    <t>With recognition of forex gain of RM76,510,478 by PSC-Naval Dockyard Sdn Bhd</t>
  </si>
  <si>
    <t>(profit@cost saving = RM27,967,161)</t>
  </si>
  <si>
    <t>(profit@cost saving = RM4,265,361)</t>
  </si>
  <si>
    <t>With OPV profit assumed of RM65,801,368 and on the assumptions that the following issues can be resolved:-</t>
  </si>
  <si>
    <t>With assumption that Magnani will guarantee profit of 10% for all UDA project, Bayan Lepas and TAT 1,2&amp;3 on the</t>
  </si>
  <si>
    <t>Comment on Financial Results (current quarter compared with the preceding quarter)</t>
  </si>
  <si>
    <t>announcement, any item, transaction or event of a material and unusual nature likely, in the opinion</t>
  </si>
  <si>
    <t>of the directors, to affect substantially the results of the operation of the company and of the Group</t>
  </si>
  <si>
    <t>Offshore patrol vessels expenditure</t>
  </si>
  <si>
    <t>Contract sum receivables</t>
  </si>
  <si>
    <t>There was no dividend declared or recommended for the current financial period ended</t>
  </si>
  <si>
    <t>Page 4</t>
  </si>
  <si>
    <t>Investment Holdings</t>
  </si>
  <si>
    <t>QUARTERLY REPORT</t>
  </si>
  <si>
    <t>were not materially affected by any seasonal or cyclical factors.</t>
  </si>
  <si>
    <t>from shipbuilding, shiprepair and steel fabrication activities.</t>
  </si>
  <si>
    <t>31/12/2000</t>
  </si>
  <si>
    <t>Quarterly report on consolidated results for the financial quarter ended 31/3/2001.</t>
  </si>
  <si>
    <t>31/3/2000</t>
  </si>
  <si>
    <t>31/3/2001</t>
  </si>
  <si>
    <t>-0.3820</t>
  </si>
  <si>
    <t>There were no extraordinary items for the financial period ended 31st March 2001.</t>
  </si>
  <si>
    <t>There were no pre-acquisition profits or losses for the financial period ended 31st March 2001.</t>
  </si>
  <si>
    <t>31st March 2000.</t>
  </si>
  <si>
    <t>31st March 2001.</t>
  </si>
  <si>
    <t>There were no changes in the Composition of the Group for the current financial period ended</t>
  </si>
  <si>
    <t xml:space="preserve">The business operations of the Group for the current financial period ended 31st March 2001 </t>
  </si>
  <si>
    <t>current financial period ended 31st March 2001.</t>
  </si>
  <si>
    <t>Total Group Borrowings as at 31st March 2001 are as follows:-</t>
  </si>
  <si>
    <t>period ended 31st March 2001.</t>
  </si>
  <si>
    <t>for the first quarter ended 31st March 2001 in respect of which this announcement is made.</t>
  </si>
  <si>
    <t>31/03/2001</t>
  </si>
  <si>
    <t>The Group's achieved a pre-tax profit of RM60.3 million for the quarter under review as compared to</t>
  </si>
  <si>
    <t xml:space="preserve">The group recorded a turnover of RM225.3 million and pre-tax profit of RM60.3 million during </t>
  </si>
  <si>
    <t>FOR THE 1ST QUARTER ENDED 31ST MARCH 2001</t>
  </si>
  <si>
    <t>any adjustments for under/over provisions in respect of prior years.</t>
  </si>
  <si>
    <t>Included in the taxation  is deferred tax of RM18.95 million. However, the  tax figure does not contain</t>
  </si>
  <si>
    <t>-0.1141</t>
  </si>
  <si>
    <t>The revised proposal which was announced on 6th December 2000 had been submitted to the relevant</t>
  </si>
  <si>
    <t>Barring any unforeseen circumstances, the Board of Directors are confident that the Group's results</t>
  </si>
  <si>
    <t>project and reduction of interest expenses resulting from the completion of the Debt Restructuring</t>
  </si>
  <si>
    <t>Scheme which is expected to be completed in August 2001.</t>
  </si>
  <si>
    <t>Operating profit before</t>
  </si>
  <si>
    <t>Operating profit after</t>
  </si>
  <si>
    <t>Profit before taxation, minority</t>
  </si>
  <si>
    <t>Profit after taxation and extraordinary</t>
  </si>
  <si>
    <t>of the Company.</t>
  </si>
  <si>
    <t>authorities on 19th March 2001, and are subject to approval from relevant authorities and shareholders</t>
  </si>
  <si>
    <t>Vessels Contract</t>
  </si>
  <si>
    <t xml:space="preserve">The exceptional item is in respect of unrealised gain on foreign exchange arising from Offshore Patrol </t>
  </si>
  <si>
    <t>Shipbuilding and shiprepair related activities</t>
  </si>
  <si>
    <t>RM17.4 million in the preceding quarter. The improve in profit is mainly due to higher percentage of</t>
  </si>
  <si>
    <t>quarter.</t>
  </si>
  <si>
    <t xml:space="preserve">completion of existing projects and also because of high provision of doubtful debt in the preceding </t>
  </si>
  <si>
    <t xml:space="preserve">in year 2000 would be surpassed in year 2001 due to expected good progress of the Patrol Vessel </t>
  </si>
  <si>
    <t xml:space="preserve">There has not arisen in the interval between the end of the first quarter and the date of this </t>
  </si>
  <si>
    <t>financial period ended 31st March 2001. The major contribution to the profit for the Group is derived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</si>
</sst>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 * #,##0_ ;_ * \-#,##0_ ;_ * &quot;-&quot;??_ ;_ @_ "/>
    <numFmt numFmtId="169" formatCode="_(* #,##0.0000_);_(* \(#,##0.0000\);_(* &quot;-&quot;??_);_(@_)"/>
    <numFmt numFmtId="170" formatCode="_(* #,##0.000000_);_(* \(#,##0.000000\);_(* &quot;-&quot;??_);_(@_)"/>
    <numFmt numFmtId="171" formatCode="&quot;$&quot;#,##0\ ;\(&quot;$&quot;#,##0\)"/>
    <numFmt numFmtId="172" formatCode="m/d"/>
    <numFmt numFmtId="173" formatCode="0.000%"/>
    <numFmt numFmtId="174" formatCode="#,##0.000_);[Red]\(#,##0.000\)"/>
    <numFmt numFmtId="175" formatCode="#,##0.0_);[Red]\(#,##0.0\)"/>
    <numFmt numFmtId="176" formatCode="_(* #,##0.0_);_(* \(#,##0.0\);_(* &quot;-&quot;?_);_(@_)"/>
    <numFmt numFmtId="177" formatCode="_(* #,##0.0000_);_(* \(#,##0.0000\);_(* &quot;-&quot;????_);_(@_)"/>
    <numFmt numFmtId="178" formatCode="_(* #,##0.00000_);_(* \(#,##0.00000\);_(* &quot;-&quot;???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9" fontId="0" fillId="0" borderId="14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5" xfId="15" applyNumberFormat="1" applyBorder="1" applyAlignment="1">
      <alignment/>
    </xf>
    <xf numFmtId="166" fontId="0" fillId="0" borderId="16" xfId="15" applyNumberFormat="1" applyBorder="1" applyAlignment="1">
      <alignment/>
    </xf>
    <xf numFmtId="166" fontId="1" fillId="0" borderId="17" xfId="15" applyNumberFormat="1" applyFont="1" applyBorder="1" applyAlignment="1">
      <alignment/>
    </xf>
    <xf numFmtId="9" fontId="1" fillId="0" borderId="13" xfId="27" applyFont="1" applyBorder="1" applyAlignment="1">
      <alignment horizontal="center"/>
    </xf>
    <xf numFmtId="166" fontId="0" fillId="0" borderId="14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1" fillId="0" borderId="13" xfId="15" applyNumberFormat="1" applyFont="1" applyBorder="1" applyAlignment="1">
      <alignment/>
    </xf>
    <xf numFmtId="166" fontId="0" fillId="0" borderId="18" xfId="15" applyNumberFormat="1" applyBorder="1" applyAlignment="1">
      <alignment/>
    </xf>
    <xf numFmtId="166" fontId="0" fillId="0" borderId="19" xfId="15" applyNumberFormat="1" applyBorder="1" applyAlignment="1">
      <alignment/>
    </xf>
    <xf numFmtId="166" fontId="1" fillId="0" borderId="20" xfId="15" applyNumberFormat="1" applyFont="1" applyBorder="1" applyAlignment="1">
      <alignment/>
    </xf>
    <xf numFmtId="166" fontId="0" fillId="0" borderId="14" xfId="15" applyNumberFormat="1" applyFill="1" applyBorder="1" applyAlignment="1">
      <alignment/>
    </xf>
    <xf numFmtId="166" fontId="0" fillId="0" borderId="19" xfId="15" applyNumberFormat="1" applyFont="1" applyBorder="1" applyAlignment="1">
      <alignment/>
    </xf>
    <xf numFmtId="0" fontId="1" fillId="0" borderId="21" xfId="0" applyFont="1" applyBorder="1" applyAlignment="1">
      <alignment/>
    </xf>
    <xf numFmtId="166" fontId="0" fillId="0" borderId="22" xfId="15" applyNumberFormat="1" applyBorder="1" applyAlignment="1">
      <alignment/>
    </xf>
    <xf numFmtId="166" fontId="0" fillId="0" borderId="23" xfId="15" applyNumberFormat="1" applyBorder="1" applyAlignment="1">
      <alignment/>
    </xf>
    <xf numFmtId="166" fontId="1" fillId="0" borderId="21" xfId="15" applyNumberFormat="1" applyFont="1" applyBorder="1" applyAlignment="1">
      <alignment/>
    </xf>
    <xf numFmtId="9" fontId="1" fillId="0" borderId="21" xfId="27" applyFont="1" applyBorder="1" applyAlignment="1">
      <alignment horizontal="center"/>
    </xf>
    <xf numFmtId="0" fontId="7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15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8" fontId="0" fillId="0" borderId="3" xfId="0" applyNumberFormat="1" applyBorder="1" applyAlignment="1">
      <alignment/>
    </xf>
    <xf numFmtId="166" fontId="1" fillId="0" borderId="25" xfId="15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8" fontId="7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38" fontId="0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166" fontId="0" fillId="0" borderId="3" xfId="15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2" xfId="0" applyFont="1" applyBorder="1" applyAlignment="1">
      <alignment/>
    </xf>
    <xf numFmtId="166" fontId="1" fillId="0" borderId="11" xfId="15" applyNumberFormat="1" applyFont="1" applyBorder="1" applyAlignment="1">
      <alignment horizontal="center"/>
    </xf>
    <xf numFmtId="38" fontId="0" fillId="0" borderId="0" xfId="0" applyNumberFormat="1" applyFont="1" applyAlignment="1">
      <alignment/>
    </xf>
    <xf numFmtId="0" fontId="1" fillId="0" borderId="31" xfId="0" applyFont="1" applyBorder="1" applyAlignment="1">
      <alignment horizontal="center"/>
    </xf>
    <xf numFmtId="166" fontId="2" fillId="0" borderId="3" xfId="15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24" xfId="0" applyFont="1" applyBorder="1" applyAlignment="1">
      <alignment/>
    </xf>
    <xf numFmtId="166" fontId="1" fillId="0" borderId="33" xfId="15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6" fontId="0" fillId="0" borderId="31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>
      <alignment horizontal="right"/>
    </xf>
    <xf numFmtId="166" fontId="0" fillId="0" borderId="0" xfId="0" applyNumberFormat="1" applyAlignment="1">
      <alignment/>
    </xf>
    <xf numFmtId="166" fontId="0" fillId="0" borderId="5" xfId="15" applyNumberFormat="1" applyFont="1" applyBorder="1" applyAlignment="1">
      <alignment/>
    </xf>
    <xf numFmtId="166" fontId="1" fillId="0" borderId="34" xfId="15" applyNumberFormat="1" applyFont="1" applyBorder="1" applyAlignment="1">
      <alignment/>
    </xf>
    <xf numFmtId="166" fontId="0" fillId="0" borderId="26" xfId="15" applyNumberFormat="1" applyBorder="1" applyAlignment="1">
      <alignment/>
    </xf>
    <xf numFmtId="166" fontId="0" fillId="0" borderId="30" xfId="15" applyNumberForma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35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166" fontId="0" fillId="0" borderId="39" xfId="15" applyNumberFormat="1" applyBorder="1" applyAlignment="1">
      <alignment/>
    </xf>
    <xf numFmtId="166" fontId="0" fillId="0" borderId="38" xfId="15" applyNumberFormat="1" applyBorder="1" applyAlignment="1">
      <alignment/>
    </xf>
    <xf numFmtId="166" fontId="0" fillId="0" borderId="40" xfId="15" applyNumberFormat="1" applyBorder="1" applyAlignment="1">
      <alignment/>
    </xf>
    <xf numFmtId="166" fontId="0" fillId="0" borderId="41" xfId="15" applyNumberFormat="1" applyBorder="1" applyAlignment="1">
      <alignment/>
    </xf>
    <xf numFmtId="166" fontId="0" fillId="0" borderId="42" xfId="15" applyNumberFormat="1" applyBorder="1" applyAlignment="1">
      <alignment/>
    </xf>
    <xf numFmtId="41" fontId="0" fillId="0" borderId="19" xfId="15" applyNumberForma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38" xfId="15" applyNumberFormat="1" applyFont="1" applyBorder="1" applyAlignment="1">
      <alignment/>
    </xf>
    <xf numFmtId="0" fontId="7" fillId="0" borderId="36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6" fontId="7" fillId="0" borderId="13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32" xfId="0" applyFont="1" applyBorder="1" applyAlignment="1">
      <alignment/>
    </xf>
    <xf numFmtId="166" fontId="8" fillId="0" borderId="37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38" xfId="0" applyFont="1" applyBorder="1" applyAlignment="1">
      <alignment/>
    </xf>
    <xf numFmtId="0" fontId="8" fillId="0" borderId="37" xfId="0" applyFont="1" applyBorder="1" applyAlignment="1">
      <alignment/>
    </xf>
    <xf numFmtId="166" fontId="7" fillId="0" borderId="44" xfId="15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7" xfId="0" applyFont="1" applyBorder="1" applyAlignment="1">
      <alignment/>
    </xf>
    <xf numFmtId="166" fontId="8" fillId="0" borderId="37" xfId="15" applyNumberFormat="1" applyFont="1" applyBorder="1" applyAlignment="1">
      <alignment/>
    </xf>
    <xf numFmtId="166" fontId="0" fillId="0" borderId="3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3" fontId="0" fillId="0" borderId="3" xfId="15" applyBorder="1" applyAlignment="1">
      <alignment/>
    </xf>
    <xf numFmtId="43" fontId="0" fillId="0" borderId="4" xfId="15" applyBorder="1" applyAlignment="1">
      <alignment/>
    </xf>
    <xf numFmtId="43" fontId="0" fillId="0" borderId="33" xfId="15" applyBorder="1" applyAlignment="1">
      <alignment/>
    </xf>
    <xf numFmtId="43" fontId="0" fillId="0" borderId="4" xfId="15" applyBorder="1" applyAlignment="1">
      <alignment horizontal="right"/>
    </xf>
    <xf numFmtId="43" fontId="0" fillId="0" borderId="4" xfId="15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31" xfId="0" applyFill="1" applyBorder="1" applyAlignment="1">
      <alignment/>
    </xf>
    <xf numFmtId="166" fontId="0" fillId="0" borderId="3" xfId="15" applyNumberFormat="1" applyFill="1" applyBorder="1" applyAlignment="1">
      <alignment/>
    </xf>
    <xf numFmtId="0" fontId="0" fillId="0" borderId="4" xfId="0" applyFill="1" applyBorder="1" applyAlignment="1">
      <alignment/>
    </xf>
    <xf numFmtId="166" fontId="0" fillId="0" borderId="33" xfId="15" applyNumberFormat="1" applyFill="1" applyBorder="1" applyAlignment="1">
      <alignment/>
    </xf>
    <xf numFmtId="166" fontId="0" fillId="0" borderId="4" xfId="15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166" fontId="0" fillId="0" borderId="3" xfId="15" applyNumberFormat="1" applyFill="1" applyBorder="1" applyAlignment="1">
      <alignment/>
    </xf>
    <xf numFmtId="166" fontId="0" fillId="0" borderId="4" xfId="15" applyNumberFormat="1" applyFill="1" applyBorder="1" applyAlignment="1">
      <alignment/>
    </xf>
    <xf numFmtId="166" fontId="0" fillId="0" borderId="33" xfId="15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7" xfId="0" applyFill="1" applyBorder="1" applyAlignment="1">
      <alignment/>
    </xf>
    <xf numFmtId="43" fontId="0" fillId="0" borderId="4" xfId="15" applyFill="1" applyBorder="1" applyAlignment="1">
      <alignment horizontal="center"/>
    </xf>
    <xf numFmtId="2" fontId="0" fillId="0" borderId="4" xfId="0" applyNumberFormat="1" applyFill="1" applyBorder="1" applyAlignment="1">
      <alignment/>
    </xf>
    <xf numFmtId="2" fontId="0" fillId="0" borderId="4" xfId="0" applyNumberFormat="1" applyFill="1" applyBorder="1" applyAlignment="1">
      <alignment horizontal="right"/>
    </xf>
    <xf numFmtId="43" fontId="0" fillId="0" borderId="4" xfId="15" applyFill="1" applyBorder="1" applyAlignment="1">
      <alignment/>
    </xf>
    <xf numFmtId="40" fontId="0" fillId="0" borderId="4" xfId="0" applyNumberFormat="1" applyBorder="1" applyAlignment="1">
      <alignment/>
    </xf>
    <xf numFmtId="40" fontId="0" fillId="0" borderId="31" xfId="0" applyNumberFormat="1" applyBorder="1" applyAlignment="1">
      <alignment/>
    </xf>
    <xf numFmtId="40" fontId="0" fillId="0" borderId="3" xfId="0" applyNumberFormat="1" applyBorder="1" applyAlignment="1">
      <alignment/>
    </xf>
    <xf numFmtId="0" fontId="0" fillId="0" borderId="29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0" fillId="0" borderId="24" xfId="15" applyNumberFormat="1" applyFont="1" applyFill="1" applyBorder="1" applyAlignment="1">
      <alignment horizontal="center"/>
    </xf>
    <xf numFmtId="49" fontId="0" fillId="0" borderId="25" xfId="15" applyNumberFormat="1" applyFill="1" applyBorder="1" applyAlignment="1">
      <alignment horizontal="center"/>
    </xf>
    <xf numFmtId="49" fontId="0" fillId="0" borderId="45" xfId="15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/>
    </xf>
    <xf numFmtId="49" fontId="0" fillId="0" borderId="45" xfId="0" applyNumberForma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3" fontId="0" fillId="0" borderId="24" xfId="15" applyFont="1" applyBorder="1" applyAlignment="1">
      <alignment/>
    </xf>
    <xf numFmtId="0" fontId="0" fillId="0" borderId="25" xfId="0" applyBorder="1" applyAlignment="1">
      <alignment/>
    </xf>
    <xf numFmtId="0" fontId="0" fillId="0" borderId="45" xfId="0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zoomScale="75" zoomScaleNormal="75" workbookViewId="0" topLeftCell="A6">
      <selection activeCell="H16" sqref="H16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0</v>
      </c>
      <c r="V1" s="2" t="s">
        <v>49</v>
      </c>
    </row>
    <row r="2" spans="1:22" ht="15.75">
      <c r="A2" s="2" t="s">
        <v>205</v>
      </c>
      <c r="V2" s="2" t="s">
        <v>205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123"/>
      <c r="B4" s="16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27" t="s">
        <v>101</v>
      </c>
      <c r="J4" s="18"/>
      <c r="K4" s="19" t="s">
        <v>102</v>
      </c>
      <c r="L4" s="20" t="s">
        <v>103</v>
      </c>
      <c r="M4" s="20"/>
      <c r="N4" s="19" t="s">
        <v>102</v>
      </c>
      <c r="O4" s="18"/>
      <c r="P4" s="18"/>
      <c r="Q4" s="19" t="s">
        <v>20</v>
      </c>
      <c r="R4" s="18"/>
      <c r="S4" s="21" t="s">
        <v>19</v>
      </c>
      <c r="T4" s="19" t="s">
        <v>104</v>
      </c>
      <c r="V4" s="15" t="s">
        <v>15</v>
      </c>
      <c r="W4" s="16" t="s">
        <v>1</v>
      </c>
      <c r="X4" s="17" t="s">
        <v>43</v>
      </c>
      <c r="Y4" s="17" t="s">
        <v>44</v>
      </c>
      <c r="Z4" s="17" t="s">
        <v>45</v>
      </c>
      <c r="AA4" s="17" t="s">
        <v>46</v>
      </c>
      <c r="AB4" s="17" t="s">
        <v>105</v>
      </c>
      <c r="AC4" s="17" t="s">
        <v>48</v>
      </c>
      <c r="AD4" s="17" t="s">
        <v>47</v>
      </c>
      <c r="AE4" s="17" t="s">
        <v>50</v>
      </c>
      <c r="AF4" s="17" t="s">
        <v>106</v>
      </c>
      <c r="AG4" s="18"/>
      <c r="AH4" s="19" t="s">
        <v>107</v>
      </c>
      <c r="AJ4" s="19" t="s">
        <v>20</v>
      </c>
      <c r="AK4" s="18"/>
      <c r="AL4" s="21" t="s">
        <v>19</v>
      </c>
      <c r="AM4" s="19" t="s">
        <v>104</v>
      </c>
    </row>
    <row r="5" spans="1:39" ht="13.5" thickBot="1">
      <c r="A5" s="124" t="s">
        <v>108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128"/>
      <c r="K5" s="25"/>
      <c r="L5" s="18" t="s">
        <v>10</v>
      </c>
      <c r="M5" s="18" t="s">
        <v>11</v>
      </c>
      <c r="N5" s="19" t="s">
        <v>117</v>
      </c>
      <c r="O5" s="18"/>
      <c r="P5" s="26"/>
      <c r="Q5" s="27"/>
      <c r="R5" s="26"/>
      <c r="S5" s="27"/>
      <c r="T5" s="28"/>
      <c r="V5" s="22" t="s">
        <v>108</v>
      </c>
      <c r="W5" s="23">
        <v>1</v>
      </c>
      <c r="X5" s="29">
        <v>0.8807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125"/>
      <c r="B6" s="32"/>
      <c r="C6" s="13"/>
      <c r="D6" s="13"/>
      <c r="E6" s="13"/>
      <c r="F6" s="13"/>
      <c r="G6" s="13"/>
      <c r="H6" s="13"/>
      <c r="I6" s="128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122" t="s">
        <v>16</v>
      </c>
      <c r="B7" s="33">
        <v>0</v>
      </c>
      <c r="C7" s="34">
        <v>15709428</v>
      </c>
      <c r="D7" s="34">
        <v>669901.26</v>
      </c>
      <c r="E7" s="34">
        <v>1868706.49</v>
      </c>
      <c r="F7" s="34">
        <v>5734855.64</v>
      </c>
      <c r="G7" s="34">
        <v>0</v>
      </c>
      <c r="H7" s="34">
        <v>0</v>
      </c>
      <c r="I7" s="129">
        <f>AH7</f>
        <v>543779171.4833333</v>
      </c>
      <c r="J7" s="9"/>
      <c r="K7" s="35">
        <f>SUM(B7:I7)</f>
        <v>567762062.8733333</v>
      </c>
      <c r="L7" s="11"/>
      <c r="M7" s="11"/>
      <c r="N7" s="35">
        <f>K7-L7</f>
        <v>567762062.8733333</v>
      </c>
      <c r="O7" s="11"/>
      <c r="P7" s="11"/>
      <c r="Q7" s="35">
        <v>358674721</v>
      </c>
      <c r="R7" s="11"/>
      <c r="S7" s="35">
        <f>K7-Q7</f>
        <v>209087341.87333333</v>
      </c>
      <c r="T7" s="36">
        <f>S7/Q7</f>
        <v>0.5829441821001189</v>
      </c>
      <c r="V7" s="25" t="s">
        <v>16</v>
      </c>
      <c r="W7" s="33">
        <v>43235894.67</v>
      </c>
      <c r="X7" s="34">
        <v>41695852</v>
      </c>
      <c r="Y7" s="34">
        <f>8842498000/2400*3.8</f>
        <v>14000621.833333332</v>
      </c>
      <c r="Z7" s="34">
        <v>440822248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543779171.4833333</v>
      </c>
      <c r="AJ7" s="35">
        <v>346259892</v>
      </c>
      <c r="AK7" s="11"/>
      <c r="AL7" s="35">
        <f>AH7-AJ7</f>
        <v>197519279.48333335</v>
      </c>
      <c r="AM7" s="36">
        <f>AL7/AJ7</f>
        <v>0.570436495958167</v>
      </c>
    </row>
    <row r="8" spans="1:39" ht="21" customHeight="1" thickTop="1">
      <c r="A8" s="122" t="s">
        <v>21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130"/>
      <c r="J8" s="9"/>
      <c r="K8" s="39"/>
      <c r="L8" s="11"/>
      <c r="M8" s="11"/>
      <c r="N8" s="39"/>
      <c r="O8" s="11"/>
      <c r="P8" s="11"/>
      <c r="Q8" s="39"/>
      <c r="R8" s="11"/>
      <c r="S8" s="39"/>
      <c r="T8" s="36"/>
      <c r="V8" s="25" t="s">
        <v>21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1"/>
      <c r="AL8" s="39"/>
      <c r="AM8" s="36"/>
    </row>
    <row r="9" spans="1:39" ht="34.5" customHeight="1">
      <c r="A9" s="122" t="s">
        <v>109</v>
      </c>
      <c r="B9" s="37">
        <v>107365.05</v>
      </c>
      <c r="C9" s="38">
        <v>79842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130">
        <f>AH9</f>
        <v>39623680.6</v>
      </c>
      <c r="J9" s="9"/>
      <c r="K9" s="39">
        <f>SUM(B9:I9)</f>
        <v>40255013.34</v>
      </c>
      <c r="L9" s="11"/>
      <c r="M9" s="11"/>
      <c r="N9" s="39">
        <f>K9</f>
        <v>40255013.34</v>
      </c>
      <c r="O9" s="11"/>
      <c r="P9" s="11"/>
      <c r="Q9" s="39">
        <v>17007728</v>
      </c>
      <c r="R9" s="11"/>
      <c r="S9" s="39">
        <f>K9-Q9</f>
        <v>23247285.340000004</v>
      </c>
      <c r="T9" s="36">
        <f>S9/Q9</f>
        <v>1.3668660117330194</v>
      </c>
      <c r="V9" s="25" t="s">
        <v>109</v>
      </c>
      <c r="W9" s="37">
        <v>14351063.11</v>
      </c>
      <c r="X9" s="38">
        <v>0</v>
      </c>
      <c r="Y9" s="38">
        <v>0</v>
      </c>
      <c r="Z9" s="38">
        <v>25000000</v>
      </c>
      <c r="AA9" s="38">
        <v>80211.49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39623680.6</v>
      </c>
      <c r="AJ9" s="39">
        <v>11263550</v>
      </c>
      <c r="AK9" s="11"/>
      <c r="AL9" s="39">
        <f>AH9-AJ9</f>
        <v>28360130.6</v>
      </c>
      <c r="AM9" s="36">
        <f>AL9/AJ9</f>
        <v>2.517867865814952</v>
      </c>
    </row>
    <row r="10" spans="1:39" ht="33" customHeight="1">
      <c r="A10" s="122" t="s">
        <v>110</v>
      </c>
      <c r="B10" s="37"/>
      <c r="C10" s="38"/>
      <c r="D10" s="38"/>
      <c r="E10" s="38"/>
      <c r="F10" s="38"/>
      <c r="G10" s="38"/>
      <c r="H10" s="38"/>
      <c r="I10" s="130"/>
      <c r="J10" s="9"/>
      <c r="K10" s="39"/>
      <c r="L10" s="11"/>
      <c r="M10" s="11"/>
      <c r="N10" s="39"/>
      <c r="O10" s="11"/>
      <c r="P10" s="11"/>
      <c r="Q10" s="39"/>
      <c r="R10" s="11"/>
      <c r="S10" s="39"/>
      <c r="T10" s="28"/>
      <c r="V10" s="25" t="s">
        <v>110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1"/>
      <c r="AL10" s="39"/>
      <c r="AM10" s="28"/>
    </row>
    <row r="11" spans="1:39" ht="12.75" customHeight="1">
      <c r="A11" s="122" t="s">
        <v>111</v>
      </c>
      <c r="B11" s="37"/>
      <c r="C11" s="38"/>
      <c r="D11" s="38"/>
      <c r="E11" s="38"/>
      <c r="F11" s="38"/>
      <c r="G11" s="38"/>
      <c r="H11" s="38"/>
      <c r="I11" s="130"/>
      <c r="J11" s="9"/>
      <c r="K11" s="39"/>
      <c r="L11" s="11"/>
      <c r="M11" s="11"/>
      <c r="N11" s="39"/>
      <c r="O11" s="11"/>
      <c r="P11" s="11"/>
      <c r="Q11" s="39"/>
      <c r="R11" s="11"/>
      <c r="S11" s="39"/>
      <c r="T11" s="28"/>
      <c r="V11" s="25" t="s">
        <v>111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1"/>
      <c r="AL11" s="39"/>
      <c r="AM11" s="28"/>
    </row>
    <row r="12" spans="1:39" ht="13.5" customHeight="1">
      <c r="A12" s="122" t="s">
        <v>112</v>
      </c>
      <c r="B12" s="37">
        <f aca="true" t="shared" si="0" ref="B12:I12">B15+B13+B14</f>
        <v>3501325.439999999</v>
      </c>
      <c r="C12" s="38">
        <f t="shared" si="0"/>
        <v>1059772</v>
      </c>
      <c r="D12" s="38">
        <f t="shared" si="0"/>
        <v>106238.92</v>
      </c>
      <c r="E12" s="38">
        <f t="shared" si="0"/>
        <v>25638.399999999998</v>
      </c>
      <c r="F12" s="38">
        <f t="shared" si="0"/>
        <v>3863020.48</v>
      </c>
      <c r="G12" s="38">
        <f t="shared" si="0"/>
        <v>-78682</v>
      </c>
      <c r="H12" s="38">
        <f t="shared" si="0"/>
        <v>-59225</v>
      </c>
      <c r="I12" s="130">
        <f t="shared" si="0"/>
        <v>57889898.38666666</v>
      </c>
      <c r="J12" s="9"/>
      <c r="K12" s="39">
        <f aca="true" t="shared" si="1" ref="K12:K19">SUM(B12:I12)</f>
        <v>66307986.626666665</v>
      </c>
      <c r="L12" s="11"/>
      <c r="M12" s="11"/>
      <c r="N12" s="39">
        <f>K12-L12</f>
        <v>66307986.626666665</v>
      </c>
      <c r="O12" s="11"/>
      <c r="P12" s="11"/>
      <c r="Q12" s="39">
        <f>Q15+Q13</f>
        <v>64240257</v>
      </c>
      <c r="R12" s="11"/>
      <c r="S12" s="39">
        <f>K12-Q12</f>
        <v>2067729.626666665</v>
      </c>
      <c r="T12" s="36">
        <f>S12/Q12</f>
        <v>0.03218744325177069</v>
      </c>
      <c r="V12" s="25" t="s">
        <v>112</v>
      </c>
      <c r="W12" s="38">
        <f aca="true" t="shared" si="2" ref="W12:AF12">W15+W13+W14</f>
        <v>-27325895.28</v>
      </c>
      <c r="X12" s="38">
        <f t="shared" si="2"/>
        <v>-3541640.5</v>
      </c>
      <c r="Y12" s="38">
        <f t="shared" si="2"/>
        <v>-50956.833333333256</v>
      </c>
      <c r="Z12" s="38">
        <f t="shared" si="2"/>
        <v>89779444</v>
      </c>
      <c r="AA12" s="38">
        <f t="shared" si="2"/>
        <v>296212.18000000005</v>
      </c>
      <c r="AB12" s="38">
        <f t="shared" si="2"/>
        <v>-831575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57889898.38666667</v>
      </c>
      <c r="AJ12" s="39">
        <f>AJ15+AJ13</f>
        <v>58840816</v>
      </c>
      <c r="AK12" s="11"/>
      <c r="AL12" s="39">
        <f>AH12-AJ12</f>
        <v>-950917.6133333296</v>
      </c>
      <c r="AM12" s="36">
        <f>AL12/AJ12</f>
        <v>-0.016160850205295074</v>
      </c>
    </row>
    <row r="13" spans="1:39" ht="36" customHeight="1">
      <c r="A13" s="122" t="s">
        <v>26</v>
      </c>
      <c r="B13" s="6">
        <f>18598507.79+70213.7</f>
        <v>18668721.49</v>
      </c>
      <c r="C13" s="7">
        <v>108388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131">
        <f aca="true" t="shared" si="4" ref="I13:I19">AH13</f>
        <v>27023797.06</v>
      </c>
      <c r="J13" s="9"/>
      <c r="K13" s="42">
        <f t="shared" si="1"/>
        <v>49157504.519999996</v>
      </c>
      <c r="L13" s="11"/>
      <c r="M13" s="11"/>
      <c r="N13" s="42">
        <f>K13</f>
        <v>49157504.519999996</v>
      </c>
      <c r="O13" s="11"/>
      <c r="P13" s="11"/>
      <c r="Q13" s="42">
        <v>29135318</v>
      </c>
      <c r="R13" s="11"/>
      <c r="S13" s="42">
        <f>K13-Q13</f>
        <v>20022186.519999996</v>
      </c>
      <c r="T13" s="36">
        <f>S13/Q13</f>
        <v>0.6872135914219297</v>
      </c>
      <c r="V13" s="25" t="s">
        <v>26</v>
      </c>
      <c r="W13" s="40">
        <v>25304583.4</v>
      </c>
      <c r="X13" s="41">
        <v>0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27023797.06</v>
      </c>
      <c r="AJ13" s="42">
        <v>16915356</v>
      </c>
      <c r="AK13" s="11"/>
      <c r="AL13" s="42">
        <f>AH13-AJ13</f>
        <v>10108441.059999999</v>
      </c>
      <c r="AM13" s="36">
        <f>AL13/AJ13</f>
        <v>0.5975896138396377</v>
      </c>
    </row>
    <row r="14" spans="1:39" ht="36" customHeight="1">
      <c r="A14" s="122" t="s">
        <v>113</v>
      </c>
      <c r="B14" s="40">
        <v>96365.72</v>
      </c>
      <c r="C14" s="41">
        <v>908224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132">
        <f t="shared" si="4"/>
        <v>14488172.65</v>
      </c>
      <c r="J14" s="9"/>
      <c r="K14" s="42">
        <f t="shared" si="1"/>
        <v>15617489.38</v>
      </c>
      <c r="L14" s="11"/>
      <c r="M14" s="11"/>
      <c r="N14" s="39"/>
      <c r="O14" s="11"/>
      <c r="P14" s="11"/>
      <c r="Q14" s="39"/>
      <c r="R14" s="11"/>
      <c r="S14" s="39"/>
      <c r="T14" s="36"/>
      <c r="V14" s="25" t="s">
        <v>113</v>
      </c>
      <c r="W14" s="37">
        <v>4780909</v>
      </c>
      <c r="X14" s="38">
        <v>1698307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14488172.65</v>
      </c>
      <c r="AJ14" s="39"/>
      <c r="AK14" s="11"/>
      <c r="AL14" s="39"/>
      <c r="AM14" s="36"/>
    </row>
    <row r="15" spans="1:39" ht="41.25" customHeight="1">
      <c r="A15" s="122" t="s">
        <v>114</v>
      </c>
      <c r="B15" s="37">
        <f>-19685813.95+4422052.18</f>
        <v>-15263761.77</v>
      </c>
      <c r="C15" s="38">
        <v>43160</v>
      </c>
      <c r="D15" s="38">
        <v>37462.75</v>
      </c>
      <c r="E15" s="38">
        <v>-3008.86</v>
      </c>
      <c r="F15" s="38">
        <v>479118.93</v>
      </c>
      <c r="G15" s="38">
        <v>-78682</v>
      </c>
      <c r="H15" s="38">
        <v>-59225</v>
      </c>
      <c r="I15" s="130">
        <f t="shared" si="4"/>
        <v>16377928.676666666</v>
      </c>
      <c r="J15" s="9"/>
      <c r="K15" s="39">
        <f t="shared" si="1"/>
        <v>1532992.7266666666</v>
      </c>
      <c r="L15" s="11"/>
      <c r="M15" s="11"/>
      <c r="N15" s="39">
        <f>K15-L15</f>
        <v>1532992.7266666666</v>
      </c>
      <c r="O15" s="11"/>
      <c r="P15" s="11"/>
      <c r="Q15" s="39">
        <v>35104939</v>
      </c>
      <c r="R15" s="11"/>
      <c r="S15" s="39">
        <f>K15-Q15</f>
        <v>-33571946.27333333</v>
      </c>
      <c r="T15" s="36">
        <f>S15/Q15</f>
        <v>-0.9563311382860781</v>
      </c>
      <c r="V15" s="25" t="s">
        <v>114</v>
      </c>
      <c r="W15" s="43">
        <v>-57411387.68</v>
      </c>
      <c r="X15" s="38">
        <f>-2095979*2.5</f>
        <v>-5239947.5</v>
      </c>
      <c r="Y15" s="38">
        <f>-684958000/2400*3.8</f>
        <v>-1084516.8333333333</v>
      </c>
      <c r="Z15" s="38">
        <v>82146444</v>
      </c>
      <c r="AA15" s="38">
        <v>202894.87</v>
      </c>
      <c r="AB15" s="38">
        <v>-1756361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16377928.676666666</v>
      </c>
      <c r="AJ15" s="39">
        <v>41925460</v>
      </c>
      <c r="AK15" s="11"/>
      <c r="AL15" s="39">
        <f>AH15-AJ15</f>
        <v>-25547531.323333334</v>
      </c>
      <c r="AM15" s="36">
        <f>AL15/AJ15</f>
        <v>-0.6093560171631589</v>
      </c>
    </row>
    <row r="16" spans="1:39" ht="34.5" customHeight="1">
      <c r="A16" s="122" t="s">
        <v>14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132">
        <f t="shared" si="4"/>
        <v>0</v>
      </c>
      <c r="J16" s="9"/>
      <c r="K16" s="42">
        <f t="shared" si="1"/>
        <v>367679.44</v>
      </c>
      <c r="L16" s="11"/>
      <c r="M16" s="11"/>
      <c r="N16" s="42">
        <v>0</v>
      </c>
      <c r="O16" s="11"/>
      <c r="P16" s="11"/>
      <c r="Q16" s="42">
        <v>0</v>
      </c>
      <c r="R16" s="11"/>
      <c r="S16" s="42"/>
      <c r="T16" s="28"/>
      <c r="V16" s="25" t="s">
        <v>14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1"/>
      <c r="AL16" s="42">
        <v>0</v>
      </c>
      <c r="AM16" s="28"/>
    </row>
    <row r="17" spans="1:39" ht="37.5" customHeight="1">
      <c r="A17" s="122" t="s">
        <v>18</v>
      </c>
      <c r="B17" s="37">
        <f>B15+B16</f>
        <v>-14896082.33</v>
      </c>
      <c r="C17" s="38">
        <f aca="true" t="shared" si="5" ref="C17:H17">C15</f>
        <v>43160</v>
      </c>
      <c r="D17" s="38">
        <f t="shared" si="5"/>
        <v>37462.75</v>
      </c>
      <c r="E17" s="38">
        <f t="shared" si="5"/>
        <v>-3008.86</v>
      </c>
      <c r="F17" s="38">
        <f t="shared" si="5"/>
        <v>479118.93</v>
      </c>
      <c r="G17" s="38">
        <f t="shared" si="5"/>
        <v>-78682</v>
      </c>
      <c r="H17" s="38">
        <f t="shared" si="5"/>
        <v>-59225</v>
      </c>
      <c r="I17" s="130">
        <f t="shared" si="4"/>
        <v>16377928.676666666</v>
      </c>
      <c r="J17" s="9"/>
      <c r="K17" s="39">
        <f t="shared" si="1"/>
        <v>1900672.166666666</v>
      </c>
      <c r="L17" s="11"/>
      <c r="M17" s="11"/>
      <c r="N17" s="39">
        <f>N15-N16</f>
        <v>1532992.7266666666</v>
      </c>
      <c r="O17" s="11"/>
      <c r="P17" s="11"/>
      <c r="Q17" s="39">
        <f>Q15-Q16</f>
        <v>35104939</v>
      </c>
      <c r="R17" s="11"/>
      <c r="S17" s="39">
        <f>K17-Q17</f>
        <v>-33204266.833333336</v>
      </c>
      <c r="T17" s="36">
        <f>S17/Q17</f>
        <v>-0.9458574143465492</v>
      </c>
      <c r="V17" s="25" t="s">
        <v>18</v>
      </c>
      <c r="W17" s="37">
        <f aca="true" t="shared" si="6" ref="W17:AF17">W15-W16</f>
        <v>-57411387.68</v>
      </c>
      <c r="X17" s="38">
        <f t="shared" si="6"/>
        <v>-5239947.5</v>
      </c>
      <c r="Y17" s="38">
        <f t="shared" si="6"/>
        <v>-1084516.8333333333</v>
      </c>
      <c r="Z17" s="38">
        <f t="shared" si="6"/>
        <v>82146444</v>
      </c>
      <c r="AA17" s="38">
        <f t="shared" si="6"/>
        <v>202894.87</v>
      </c>
      <c r="AB17" s="38">
        <f t="shared" si="6"/>
        <v>-1756361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16377928.676666666</v>
      </c>
      <c r="AJ17" s="39">
        <f>AJ15-AJ16</f>
        <v>41925460</v>
      </c>
      <c r="AK17" s="11"/>
      <c r="AL17" s="39">
        <f>AH17-AJ17</f>
        <v>-25547531.323333334</v>
      </c>
      <c r="AM17" s="36">
        <f>AL17/AJ17</f>
        <v>-0.6093560171631589</v>
      </c>
    </row>
    <row r="18" spans="1:39" ht="35.25" customHeight="1">
      <c r="A18" s="122" t="s">
        <v>115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132">
        <f t="shared" si="4"/>
        <v>47742980.27591666</v>
      </c>
      <c r="J18" s="9"/>
      <c r="K18" s="42">
        <f t="shared" si="1"/>
        <v>47756761.83191666</v>
      </c>
      <c r="L18" s="11"/>
      <c r="M18" s="11"/>
      <c r="N18" s="42">
        <f>K18</f>
        <v>47756761.83191666</v>
      </c>
      <c r="O18" s="11"/>
      <c r="P18" s="11"/>
      <c r="Q18" s="42">
        <v>28609038</v>
      </c>
      <c r="R18" s="11"/>
      <c r="S18" s="42">
        <f>K18-Q18</f>
        <v>19147723.83191666</v>
      </c>
      <c r="T18" s="36">
        <f>S18/Q18</f>
        <v>0.6692893284953049</v>
      </c>
      <c r="V18" s="25" t="s">
        <v>115</v>
      </c>
      <c r="W18" s="40">
        <v>0</v>
      </c>
      <c r="X18" s="41">
        <f>X17*0.1193</f>
        <v>-625125.73675</v>
      </c>
      <c r="Y18" s="41">
        <f>Y17*0.4</f>
        <v>-433806.73333333334</v>
      </c>
      <c r="Z18" s="41">
        <f>Z17*0.6</f>
        <v>49287866.4</v>
      </c>
      <c r="AA18" s="41">
        <v>0</v>
      </c>
      <c r="AB18" s="41">
        <f>AB17*0.2</f>
        <v>-351272.2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47742980.27591666</v>
      </c>
      <c r="AJ18" s="42">
        <v>28592382</v>
      </c>
      <c r="AK18" s="11"/>
      <c r="AL18" s="42">
        <f>AH18-AJ18</f>
        <v>19150598.27591666</v>
      </c>
      <c r="AM18" s="36">
        <f>AL18/AJ18</f>
        <v>0.6697797432867488</v>
      </c>
    </row>
    <row r="19" spans="1:39" ht="42" customHeight="1" thickBot="1">
      <c r="A19" s="126" t="s">
        <v>116</v>
      </c>
      <c r="B19" s="46">
        <f>B17</f>
        <v>-14896082.33</v>
      </c>
      <c r="C19" s="47">
        <f>C17</f>
        <v>43160</v>
      </c>
      <c r="D19" s="47">
        <f>D17-D18</f>
        <v>22477.65</v>
      </c>
      <c r="E19" s="47">
        <f>E17-E18</f>
        <v>-1805.316</v>
      </c>
      <c r="F19" s="47">
        <f>F17</f>
        <v>479118.93</v>
      </c>
      <c r="G19" s="47">
        <f>G17</f>
        <v>-78682</v>
      </c>
      <c r="H19" s="47">
        <f>H17</f>
        <v>-59225</v>
      </c>
      <c r="I19" s="133">
        <f t="shared" si="4"/>
        <v>-31365051.59925</v>
      </c>
      <c r="J19" s="9"/>
      <c r="K19" s="48">
        <f t="shared" si="1"/>
        <v>-45856089.66525</v>
      </c>
      <c r="L19" s="11"/>
      <c r="M19" s="11"/>
      <c r="N19" s="48">
        <f>N17-N18</f>
        <v>-46223769.10524999</v>
      </c>
      <c r="O19" s="11"/>
      <c r="P19" s="11"/>
      <c r="Q19" s="48">
        <f>Q17-Q18</f>
        <v>6495901</v>
      </c>
      <c r="R19" s="11"/>
      <c r="S19" s="48">
        <f>K19-Q19</f>
        <v>-52351990.66525</v>
      </c>
      <c r="T19" s="49">
        <f>S19/Q19</f>
        <v>-8.059234687420576</v>
      </c>
      <c r="V19" s="45" t="s">
        <v>116</v>
      </c>
      <c r="W19" s="46">
        <f aca="true" t="shared" si="7" ref="W19:AF19">W17-W18</f>
        <v>-57411387.68</v>
      </c>
      <c r="X19" s="47">
        <f t="shared" si="7"/>
        <v>-4614821.76325</v>
      </c>
      <c r="Y19" s="47">
        <f t="shared" si="7"/>
        <v>-650710.0999999999</v>
      </c>
      <c r="Z19" s="47">
        <f t="shared" si="7"/>
        <v>32858577.6</v>
      </c>
      <c r="AA19" s="47">
        <f t="shared" si="7"/>
        <v>202894.87</v>
      </c>
      <c r="AB19" s="47">
        <f t="shared" si="7"/>
        <v>-1405088.8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-31365051.59925</v>
      </c>
      <c r="AJ19" s="48">
        <f>AJ17-AJ18</f>
        <v>13333078</v>
      </c>
      <c r="AK19" s="11"/>
      <c r="AL19" s="48">
        <f>AH19-AJ19</f>
        <v>-44698129.59925</v>
      </c>
      <c r="AM19" s="49">
        <f>AL19/AJ19</f>
        <v>-3.3524239188617964</v>
      </c>
    </row>
    <row r="20" spans="1:33" ht="26.25" customHeight="1">
      <c r="A20" s="50"/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28">
      <selection activeCell="L24" sqref="L24"/>
    </sheetView>
  </sheetViews>
  <sheetFormatPr defaultColWidth="9.140625" defaultRowHeight="12.75"/>
  <cols>
    <col min="1" max="1" width="14.7109375" style="50" customWidth="1"/>
    <col min="2" max="2" width="12.28125" style="50" customWidth="1"/>
    <col min="3" max="3" width="1.28515625" style="50" customWidth="1"/>
    <col min="4" max="4" width="12.28125" style="50" customWidth="1"/>
    <col min="5" max="5" width="1.28515625" style="50" customWidth="1"/>
    <col min="6" max="6" width="12.28125" style="50" customWidth="1"/>
    <col min="7" max="7" width="1.28515625" style="50" customWidth="1"/>
    <col min="8" max="8" width="12.28125" style="50" customWidth="1"/>
    <col min="9" max="9" width="1.28515625" style="50" customWidth="1"/>
    <col min="10" max="10" width="12.28125" style="50" customWidth="1"/>
    <col min="11" max="11" width="1.28515625" style="50" customWidth="1"/>
    <col min="12" max="12" width="12.28125" style="50" customWidth="1"/>
    <col min="13" max="255" width="9.140625" style="50" customWidth="1"/>
    <col min="256" max="16384" width="9.140625" style="78" customWidth="1"/>
  </cols>
  <sheetData>
    <row r="1" ht="12.75">
      <c r="A1" s="135" t="s">
        <v>215</v>
      </c>
    </row>
    <row r="2" ht="12.75">
      <c r="A2" s="135" t="s">
        <v>214</v>
      </c>
    </row>
    <row r="3" ht="13.5" thickBot="1">
      <c r="A3" s="135"/>
    </row>
    <row r="4" spans="1:12" ht="12.75">
      <c r="A4" s="137"/>
      <c r="B4" s="143"/>
      <c r="C4" s="138"/>
      <c r="D4" s="146" t="s">
        <v>225</v>
      </c>
      <c r="E4" s="138"/>
      <c r="F4" s="146" t="s">
        <v>226</v>
      </c>
      <c r="G4" s="138"/>
      <c r="H4" s="146" t="s">
        <v>227</v>
      </c>
      <c r="I4" s="138"/>
      <c r="J4" s="146" t="s">
        <v>228</v>
      </c>
      <c r="K4" s="138"/>
      <c r="L4" s="146" t="s">
        <v>229</v>
      </c>
    </row>
    <row r="5" spans="1:12" ht="12.75">
      <c r="A5" s="139"/>
      <c r="B5" s="144" t="s">
        <v>223</v>
      </c>
      <c r="C5" s="140"/>
      <c r="D5" s="144" t="s">
        <v>224</v>
      </c>
      <c r="E5" s="140"/>
      <c r="F5" s="144" t="s">
        <v>224</v>
      </c>
      <c r="G5" s="140"/>
      <c r="H5" s="144" t="s">
        <v>224</v>
      </c>
      <c r="I5" s="140"/>
      <c r="J5" s="144" t="s">
        <v>224</v>
      </c>
      <c r="K5" s="140"/>
      <c r="L5" s="144" t="s">
        <v>224</v>
      </c>
    </row>
    <row r="6" spans="1:12" ht="12.75">
      <c r="A6" s="139"/>
      <c r="B6" s="145">
        <v>36160</v>
      </c>
      <c r="C6" s="140"/>
      <c r="D6" s="145">
        <v>36525</v>
      </c>
      <c r="E6" s="140"/>
      <c r="F6" s="145">
        <v>36525</v>
      </c>
      <c r="G6" s="140"/>
      <c r="H6" s="145">
        <v>36525</v>
      </c>
      <c r="I6" s="140"/>
      <c r="J6" s="145">
        <v>36525</v>
      </c>
      <c r="K6" s="140"/>
      <c r="L6" s="145">
        <v>36525</v>
      </c>
    </row>
    <row r="7" spans="1:12" ht="12.75">
      <c r="A7" s="139" t="s">
        <v>216</v>
      </c>
      <c r="B7" s="147">
        <v>435757801</v>
      </c>
      <c r="C7" s="148"/>
      <c r="D7" s="147">
        <v>580297757</v>
      </c>
      <c r="E7" s="149"/>
      <c r="F7" s="147">
        <f>D7</f>
        <v>580297757</v>
      </c>
      <c r="G7" s="149"/>
      <c r="H7" s="147">
        <f>F7</f>
        <v>580297757</v>
      </c>
      <c r="I7" s="149"/>
      <c r="J7" s="147">
        <f>H7</f>
        <v>580297757</v>
      </c>
      <c r="K7" s="148"/>
      <c r="L7" s="147">
        <f>J7</f>
        <v>580297757</v>
      </c>
    </row>
    <row r="8" spans="1:12" ht="12.75">
      <c r="A8" s="139"/>
      <c r="B8" s="147"/>
      <c r="C8" s="148"/>
      <c r="D8" s="147"/>
      <c r="E8" s="149"/>
      <c r="F8" s="147"/>
      <c r="G8" s="149"/>
      <c r="H8" s="147"/>
      <c r="I8" s="149"/>
      <c r="J8" s="147"/>
      <c r="K8" s="148"/>
      <c r="L8" s="147"/>
    </row>
    <row r="9" spans="1:12" ht="12.75">
      <c r="A9" s="139" t="s">
        <v>217</v>
      </c>
      <c r="B9" s="147">
        <v>5188949</v>
      </c>
      <c r="C9" s="148"/>
      <c r="D9" s="147">
        <v>-11122409</v>
      </c>
      <c r="E9" s="149"/>
      <c r="F9" s="147">
        <f>D9</f>
        <v>-11122409</v>
      </c>
      <c r="G9" s="149"/>
      <c r="H9" s="147">
        <f>F9+27967161.26</f>
        <v>16844752.26</v>
      </c>
      <c r="I9" s="149"/>
      <c r="J9" s="147">
        <f>H9+10932652</f>
        <v>27777404.26</v>
      </c>
      <c r="K9" s="148"/>
      <c r="L9" s="147">
        <f>J9+4265361</f>
        <v>32042765.26</v>
      </c>
    </row>
    <row r="10" spans="1:12" ht="12.75">
      <c r="A10" s="139"/>
      <c r="B10" s="147"/>
      <c r="C10" s="148"/>
      <c r="D10" s="147"/>
      <c r="E10" s="149"/>
      <c r="F10" s="147"/>
      <c r="G10" s="149"/>
      <c r="H10" s="147"/>
      <c r="I10" s="149"/>
      <c r="J10" s="147"/>
      <c r="K10" s="148"/>
      <c r="L10" s="147"/>
    </row>
    <row r="11" spans="1:12" ht="12.75">
      <c r="A11" s="139" t="s">
        <v>218</v>
      </c>
      <c r="B11" s="147">
        <v>52203714</v>
      </c>
      <c r="C11" s="148"/>
      <c r="D11" s="147">
        <v>0</v>
      </c>
      <c r="E11" s="149"/>
      <c r="F11" s="147">
        <v>76510478</v>
      </c>
      <c r="G11" s="149"/>
      <c r="H11" s="147">
        <f>F11</f>
        <v>76510478</v>
      </c>
      <c r="I11" s="149"/>
      <c r="J11" s="147">
        <f>H11</f>
        <v>76510478</v>
      </c>
      <c r="K11" s="148"/>
      <c r="L11" s="147">
        <f>J11</f>
        <v>76510478</v>
      </c>
    </row>
    <row r="12" spans="1:12" ht="12.75">
      <c r="A12" s="139"/>
      <c r="B12" s="147"/>
      <c r="C12" s="148"/>
      <c r="D12" s="147"/>
      <c r="E12" s="149"/>
      <c r="F12" s="147"/>
      <c r="G12" s="149"/>
      <c r="H12" s="147"/>
      <c r="I12" s="149"/>
      <c r="J12" s="147"/>
      <c r="K12" s="148"/>
      <c r="L12" s="147"/>
    </row>
    <row r="13" spans="1:12" ht="12.75">
      <c r="A13" s="139" t="s">
        <v>219</v>
      </c>
      <c r="B13" s="147">
        <v>57392663</v>
      </c>
      <c r="C13" s="148"/>
      <c r="D13" s="147">
        <f>D9+D11</f>
        <v>-11122409</v>
      </c>
      <c r="E13" s="149"/>
      <c r="F13" s="147">
        <f>F9+F11</f>
        <v>65388069</v>
      </c>
      <c r="G13" s="149"/>
      <c r="H13" s="147">
        <f>H9+H11</f>
        <v>93355230.26</v>
      </c>
      <c r="I13" s="149"/>
      <c r="J13" s="147">
        <f>J9+J11</f>
        <v>104287882.26</v>
      </c>
      <c r="K13" s="148"/>
      <c r="L13" s="147">
        <f>L9+L11</f>
        <v>108553243.26</v>
      </c>
    </row>
    <row r="14" spans="1:12" ht="12.75">
      <c r="A14" s="139"/>
      <c r="B14" s="147"/>
      <c r="C14" s="148"/>
      <c r="D14" s="147"/>
      <c r="E14" s="149"/>
      <c r="F14" s="147"/>
      <c r="G14" s="149"/>
      <c r="H14" s="147"/>
      <c r="I14" s="149"/>
      <c r="J14" s="147"/>
      <c r="K14" s="148"/>
      <c r="L14" s="147"/>
    </row>
    <row r="15" spans="1:12" ht="12.75">
      <c r="A15" s="139" t="s">
        <v>220</v>
      </c>
      <c r="B15" s="147">
        <v>-2374936</v>
      </c>
      <c r="C15" s="148"/>
      <c r="D15" s="147">
        <v>367679</v>
      </c>
      <c r="E15" s="149"/>
      <c r="F15" s="147">
        <v>367679</v>
      </c>
      <c r="G15" s="149"/>
      <c r="H15" s="147">
        <v>367679</v>
      </c>
      <c r="I15" s="149"/>
      <c r="J15" s="147">
        <v>367679</v>
      </c>
      <c r="K15" s="148"/>
      <c r="L15" s="147">
        <v>367679</v>
      </c>
    </row>
    <row r="16" spans="1:12" ht="12.75">
      <c r="A16" s="139"/>
      <c r="B16" s="147"/>
      <c r="C16" s="148"/>
      <c r="D16" s="147"/>
      <c r="E16" s="149"/>
      <c r="F16" s="147"/>
      <c r="G16" s="149"/>
      <c r="H16" s="147"/>
      <c r="I16" s="149"/>
      <c r="J16" s="147"/>
      <c r="K16" s="148"/>
      <c r="L16" s="147"/>
    </row>
    <row r="17" spans="1:12" ht="12.75">
      <c r="A17" s="139" t="s">
        <v>221</v>
      </c>
      <c r="B17" s="147">
        <v>55017727</v>
      </c>
      <c r="C17" s="148"/>
      <c r="D17" s="147">
        <f>D13+D15</f>
        <v>-10754730</v>
      </c>
      <c r="E17" s="149"/>
      <c r="F17" s="147">
        <f>F13+F15</f>
        <v>65755748</v>
      </c>
      <c r="G17" s="149"/>
      <c r="H17" s="147">
        <f>H13+H15</f>
        <v>93722909.26</v>
      </c>
      <c r="I17" s="149"/>
      <c r="J17" s="147">
        <f>J13+J15</f>
        <v>104655561.26</v>
      </c>
      <c r="K17" s="148"/>
      <c r="L17" s="147">
        <f>L13+L15</f>
        <v>108920922.26</v>
      </c>
    </row>
    <row r="18" spans="1:12" ht="12.75">
      <c r="A18" s="139"/>
      <c r="B18" s="147"/>
      <c r="C18" s="148"/>
      <c r="D18" s="147"/>
      <c r="E18" s="149"/>
      <c r="F18" s="147"/>
      <c r="G18" s="149"/>
      <c r="H18" s="147"/>
      <c r="I18" s="149"/>
      <c r="J18" s="147"/>
      <c r="K18" s="148"/>
      <c r="L18" s="147"/>
    </row>
    <row r="19" spans="1:12" ht="12.75">
      <c r="A19" s="139" t="s">
        <v>12</v>
      </c>
      <c r="B19" s="147">
        <v>-15147975</v>
      </c>
      <c r="C19" s="148"/>
      <c r="D19" s="147">
        <v>-40350495</v>
      </c>
      <c r="E19" s="149"/>
      <c r="F19" s="147">
        <f>D19-F11*0.6</f>
        <v>-86256781.8</v>
      </c>
      <c r="G19" s="149"/>
      <c r="H19" s="147">
        <f>F19</f>
        <v>-86256781.8</v>
      </c>
      <c r="I19" s="149"/>
      <c r="J19" s="147">
        <f>H19</f>
        <v>-86256781.8</v>
      </c>
      <c r="K19" s="148"/>
      <c r="L19" s="147">
        <f>J19</f>
        <v>-86256781.8</v>
      </c>
    </row>
    <row r="20" spans="1:12" ht="12.75">
      <c r="A20" s="139"/>
      <c r="B20" s="147"/>
      <c r="C20" s="148"/>
      <c r="D20" s="147"/>
      <c r="E20" s="149"/>
      <c r="F20" s="147"/>
      <c r="G20" s="149"/>
      <c r="H20" s="147"/>
      <c r="I20" s="149"/>
      <c r="J20" s="147"/>
      <c r="K20" s="148"/>
      <c r="L20" s="147"/>
    </row>
    <row r="21" spans="1:12" ht="12.75">
      <c r="A21" s="139" t="s">
        <v>222</v>
      </c>
      <c r="B21" s="147">
        <v>39869752</v>
      </c>
      <c r="C21" s="148"/>
      <c r="D21" s="147">
        <f>D17+D19</f>
        <v>-51105225</v>
      </c>
      <c r="E21" s="149"/>
      <c r="F21" s="147">
        <f>F17+F19</f>
        <v>-20501033.799999997</v>
      </c>
      <c r="G21" s="149"/>
      <c r="H21" s="147">
        <f>H17+H19</f>
        <v>7466127.460000008</v>
      </c>
      <c r="I21" s="149"/>
      <c r="J21" s="147">
        <f>J17+J19</f>
        <v>18398779.46000001</v>
      </c>
      <c r="K21" s="148"/>
      <c r="L21" s="147">
        <f>L17+L19</f>
        <v>22664140.46000001</v>
      </c>
    </row>
    <row r="22" spans="1:12" ht="13.5" thickBot="1">
      <c r="A22" s="142"/>
      <c r="B22" s="150"/>
      <c r="C22" s="151"/>
      <c r="D22" s="150"/>
      <c r="E22" s="151"/>
      <c r="F22" s="150"/>
      <c r="G22" s="151"/>
      <c r="H22" s="150"/>
      <c r="I22" s="151"/>
      <c r="J22" s="150"/>
      <c r="K22" s="151"/>
      <c r="L22" s="150"/>
    </row>
    <row r="24" ht="12.75">
      <c r="A24" s="136" t="s">
        <v>225</v>
      </c>
    </row>
    <row r="25" ht="12.75">
      <c r="A25" s="50" t="s">
        <v>260</v>
      </c>
    </row>
    <row r="26" ht="12.75">
      <c r="A26" s="50" t="s">
        <v>233</v>
      </c>
    </row>
    <row r="27" ht="12.75">
      <c r="A27" s="50" t="s">
        <v>230</v>
      </c>
    </row>
    <row r="28" ht="12.75">
      <c r="A28" s="50" t="s">
        <v>234</v>
      </c>
    </row>
    <row r="29" ht="12.75">
      <c r="A29" s="50" t="s">
        <v>231</v>
      </c>
    </row>
    <row r="30" ht="12.75">
      <c r="A30" s="50" t="s">
        <v>232</v>
      </c>
    </row>
    <row r="31" ht="12.75">
      <c r="A31" s="50" t="s">
        <v>235</v>
      </c>
    </row>
    <row r="33" ht="12.75">
      <c r="A33" s="136" t="s">
        <v>226</v>
      </c>
    </row>
    <row r="34" ht="12.75">
      <c r="A34" s="50" t="s">
        <v>257</v>
      </c>
    </row>
    <row r="36" ht="12.75">
      <c r="A36" s="136" t="s">
        <v>227</v>
      </c>
    </row>
    <row r="37" ht="12.75">
      <c r="A37" s="50" t="s">
        <v>261</v>
      </c>
    </row>
    <row r="38" ht="12.75">
      <c r="A38" s="50" t="s">
        <v>238</v>
      </c>
    </row>
    <row r="39" ht="12.75">
      <c r="A39" s="50" t="s">
        <v>258</v>
      </c>
    </row>
    <row r="41" ht="12.75">
      <c r="A41" s="136" t="s">
        <v>228</v>
      </c>
    </row>
    <row r="42" ht="12.75">
      <c r="A42" s="50" t="s">
        <v>239</v>
      </c>
    </row>
    <row r="43" ht="12.75">
      <c r="A43" s="50" t="s">
        <v>240</v>
      </c>
    </row>
    <row r="45" ht="12.75">
      <c r="A45" s="136" t="s">
        <v>229</v>
      </c>
    </row>
    <row r="46" ht="12.75">
      <c r="A46" s="50" t="s">
        <v>236</v>
      </c>
    </row>
    <row r="47" ht="12.75">
      <c r="A47" s="50" t="s">
        <v>237</v>
      </c>
    </row>
    <row r="48" ht="12.75">
      <c r="A48" s="50" t="s">
        <v>259</v>
      </c>
    </row>
    <row r="57" ht="12.75">
      <c r="A57" s="50" t="s">
        <v>241</v>
      </c>
    </row>
    <row r="58" ht="6.75" customHeight="1" thickBot="1"/>
    <row r="59" spans="1:6" ht="12.75">
      <c r="A59" s="155" t="s">
        <v>242</v>
      </c>
      <c r="B59" s="138"/>
      <c r="C59" s="138"/>
      <c r="D59" s="156"/>
      <c r="E59" s="155"/>
      <c r="F59" s="159">
        <v>3400000</v>
      </c>
    </row>
    <row r="60" spans="1:6" ht="12.75">
      <c r="A60" s="139" t="s">
        <v>243</v>
      </c>
      <c r="B60" s="140"/>
      <c r="C60" s="140"/>
      <c r="D60" s="157"/>
      <c r="E60" s="139"/>
      <c r="F60" s="141">
        <v>6000000</v>
      </c>
    </row>
    <row r="61" spans="1:6" ht="12.75">
      <c r="A61" s="139" t="s">
        <v>244</v>
      </c>
      <c r="B61" s="140"/>
      <c r="C61" s="140"/>
      <c r="D61" s="157"/>
      <c r="E61" s="139"/>
      <c r="F61" s="141">
        <v>981000</v>
      </c>
    </row>
    <row r="62" spans="1:6" ht="12.75">
      <c r="A62" s="139" t="s">
        <v>245</v>
      </c>
      <c r="B62" s="140"/>
      <c r="C62" s="140"/>
      <c r="D62" s="157"/>
      <c r="E62" s="139"/>
      <c r="F62" s="141">
        <v>1125000</v>
      </c>
    </row>
    <row r="63" spans="1:6" ht="12.75">
      <c r="A63" s="139" t="s">
        <v>246</v>
      </c>
      <c r="B63" s="140"/>
      <c r="C63" s="140"/>
      <c r="D63" s="157"/>
      <c r="E63" s="139"/>
      <c r="F63" s="141">
        <v>670068</v>
      </c>
    </row>
    <row r="64" spans="1:6" ht="12.75">
      <c r="A64" s="139" t="s">
        <v>247</v>
      </c>
      <c r="B64" s="140"/>
      <c r="C64" s="140"/>
      <c r="D64" s="157"/>
      <c r="E64" s="139"/>
      <c r="F64" s="141">
        <v>8431944</v>
      </c>
    </row>
    <row r="65" spans="1:6" ht="12.75">
      <c r="A65" s="139" t="s">
        <v>248</v>
      </c>
      <c r="B65" s="140"/>
      <c r="C65" s="140"/>
      <c r="D65" s="157"/>
      <c r="E65" s="139"/>
      <c r="F65" s="141">
        <v>455928</v>
      </c>
    </row>
    <row r="66" spans="1:6" ht="12.75">
      <c r="A66" s="139" t="s">
        <v>249</v>
      </c>
      <c r="B66" s="140"/>
      <c r="C66" s="140"/>
      <c r="D66" s="157"/>
      <c r="E66" s="139"/>
      <c r="F66" s="141">
        <v>245390</v>
      </c>
    </row>
    <row r="67" spans="1:6" ht="12.75">
      <c r="A67" s="139" t="s">
        <v>250</v>
      </c>
      <c r="B67" s="140"/>
      <c r="C67" s="140"/>
      <c r="D67" s="157"/>
      <c r="E67" s="139"/>
      <c r="F67" s="141">
        <v>76150</v>
      </c>
    </row>
    <row r="68" spans="1:6" ht="13.5" thickBot="1">
      <c r="A68" s="139" t="s">
        <v>251</v>
      </c>
      <c r="B68" s="140"/>
      <c r="C68" s="140"/>
      <c r="D68" s="157"/>
      <c r="E68" s="139"/>
      <c r="F68" s="141">
        <v>109720</v>
      </c>
    </row>
    <row r="69" spans="1:256" s="135" customFormat="1" ht="13.5" thickBot="1">
      <c r="A69" s="152" t="s">
        <v>9</v>
      </c>
      <c r="B69" s="153"/>
      <c r="C69" s="153"/>
      <c r="D69" s="158"/>
      <c r="E69" s="152"/>
      <c r="F69" s="154">
        <f>SUM(F59:F68)</f>
        <v>21495200</v>
      </c>
      <c r="IV69" s="73"/>
    </row>
    <row r="71" ht="12.75">
      <c r="A71" s="50" t="s">
        <v>252</v>
      </c>
    </row>
    <row r="72" ht="6.75" customHeight="1" thickBot="1"/>
    <row r="73" spans="1:6" ht="12.75">
      <c r="A73" s="155" t="s">
        <v>253</v>
      </c>
      <c r="B73" s="138"/>
      <c r="C73" s="138"/>
      <c r="D73" s="156"/>
      <c r="E73" s="155"/>
      <c r="F73" s="159">
        <v>523425</v>
      </c>
    </row>
    <row r="74" spans="1:6" ht="12.75">
      <c r="A74" s="139" t="s">
        <v>254</v>
      </c>
      <c r="B74" s="140"/>
      <c r="C74" s="140"/>
      <c r="D74" s="157"/>
      <c r="E74" s="139"/>
      <c r="F74" s="141">
        <v>594495</v>
      </c>
    </row>
    <row r="75" spans="1:6" ht="12.75">
      <c r="A75" s="139" t="s">
        <v>255</v>
      </c>
      <c r="B75" s="140"/>
      <c r="C75" s="140"/>
      <c r="D75" s="157"/>
      <c r="E75" s="139"/>
      <c r="F75" s="141">
        <v>518018</v>
      </c>
    </row>
    <row r="76" spans="1:6" ht="12.75">
      <c r="A76" s="139" t="s">
        <v>47</v>
      </c>
      <c r="B76" s="140"/>
      <c r="C76" s="140"/>
      <c r="D76" s="157"/>
      <c r="E76" s="139"/>
      <c r="F76" s="141">
        <v>473245</v>
      </c>
    </row>
    <row r="77" spans="1:6" ht="13.5" thickBot="1">
      <c r="A77" s="139" t="s">
        <v>256</v>
      </c>
      <c r="B77" s="140"/>
      <c r="C77" s="140"/>
      <c r="D77" s="157"/>
      <c r="E77" s="139"/>
      <c r="F77" s="141">
        <v>1097393</v>
      </c>
    </row>
    <row r="78" spans="1:6" ht="13.5" thickBot="1">
      <c r="A78" s="152" t="s">
        <v>9</v>
      </c>
      <c r="B78" s="160"/>
      <c r="C78" s="160"/>
      <c r="D78" s="162"/>
      <c r="E78" s="161"/>
      <c r="F78" s="163">
        <f>SUM(F73:F77)</f>
        <v>3206576</v>
      </c>
    </row>
  </sheetData>
  <printOptions horizontalCentered="1"/>
  <pageMargins left="0.35433070866141736" right="0.31496062992125984" top="0.984251968503937" bottom="0.984251968503937" header="0.5118110236220472" footer="0.5118110236220472"/>
  <pageSetup horizontalDpi="300" verticalDpi="300" orientation="portrait" r:id="rId1"/>
  <headerFooter alignWithMargins="0">
    <oddFooter>&amp;RMM&amp;F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="75" zoomScaleNormal="75" workbookViewId="0" topLeftCell="A1">
      <selection activeCell="E73" sqref="E73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3.8515625" style="0" customWidth="1"/>
    <col min="4" max="4" width="2.57421875" style="0" customWidth="1"/>
    <col min="5" max="5" width="35.28125" style="0" customWidth="1"/>
    <col min="6" max="6" width="20.28125" style="0" customWidth="1"/>
    <col min="7" max="7" width="0.13671875" style="0" customWidth="1"/>
    <col min="8" max="8" width="19.421875" style="166" customWidth="1"/>
    <col min="9" max="9" width="19.8515625" style="0" customWidth="1"/>
    <col min="10" max="10" width="0.13671875" style="0" customWidth="1"/>
    <col min="11" max="11" width="19.28125" style="166" customWidth="1"/>
  </cols>
  <sheetData>
    <row r="1" ht="15.75">
      <c r="A1" s="2" t="s">
        <v>270</v>
      </c>
    </row>
    <row r="3" ht="12.75">
      <c r="A3" s="1" t="s">
        <v>274</v>
      </c>
    </row>
    <row r="4" ht="12.75">
      <c r="A4" s="1" t="s">
        <v>51</v>
      </c>
    </row>
    <row r="6" ht="15.75">
      <c r="A6" s="2" t="s">
        <v>52</v>
      </c>
    </row>
    <row r="8" spans="2:11" ht="12.75">
      <c r="B8" s="55"/>
      <c r="C8" s="56"/>
      <c r="D8" s="56"/>
      <c r="E8" s="59"/>
      <c r="F8" s="217" t="s">
        <v>122</v>
      </c>
      <c r="G8" s="218"/>
      <c r="H8" s="219"/>
      <c r="I8" s="220" t="s">
        <v>123</v>
      </c>
      <c r="J8" s="221"/>
      <c r="K8" s="222"/>
    </row>
    <row r="9" spans="2:11" ht="12.75">
      <c r="B9" s="60"/>
      <c r="C9" s="14"/>
      <c r="D9" s="14"/>
      <c r="E9" s="14"/>
      <c r="F9" s="61" t="s">
        <v>53</v>
      </c>
      <c r="G9" s="3"/>
      <c r="H9" s="167" t="s">
        <v>54</v>
      </c>
      <c r="I9" s="61" t="s">
        <v>53</v>
      </c>
      <c r="K9" s="167" t="s">
        <v>54</v>
      </c>
    </row>
    <row r="10" spans="2:11" ht="12.75">
      <c r="B10" s="60"/>
      <c r="C10" s="14"/>
      <c r="D10" s="14"/>
      <c r="E10" s="14"/>
      <c r="F10" s="62" t="s">
        <v>55</v>
      </c>
      <c r="G10" s="3"/>
      <c r="H10" s="168" t="s">
        <v>56</v>
      </c>
      <c r="I10" s="62" t="s">
        <v>55</v>
      </c>
      <c r="K10" s="168" t="s">
        <v>56</v>
      </c>
    </row>
    <row r="11" spans="2:11" ht="12.75">
      <c r="B11" s="60"/>
      <c r="C11" s="14"/>
      <c r="D11" s="14"/>
      <c r="E11" s="14"/>
      <c r="F11" s="121" t="s">
        <v>276</v>
      </c>
      <c r="G11" s="3"/>
      <c r="H11" s="169" t="s">
        <v>275</v>
      </c>
      <c r="I11" s="121" t="s">
        <v>276</v>
      </c>
      <c r="J11" s="3"/>
      <c r="K11" s="169" t="s">
        <v>275</v>
      </c>
    </row>
    <row r="12" spans="2:11" ht="12.75">
      <c r="B12" s="57"/>
      <c r="C12" s="58"/>
      <c r="D12" s="58"/>
      <c r="E12" s="58"/>
      <c r="F12" s="63" t="s">
        <v>57</v>
      </c>
      <c r="G12" s="3"/>
      <c r="H12" s="170" t="s">
        <v>57</v>
      </c>
      <c r="I12" s="63" t="s">
        <v>57</v>
      </c>
      <c r="J12" s="3"/>
      <c r="K12" s="170" t="s">
        <v>57</v>
      </c>
    </row>
    <row r="13" spans="2:11" ht="12.75">
      <c r="B13" s="55"/>
      <c r="C13" s="56"/>
      <c r="D13" s="55"/>
      <c r="E13" s="56"/>
      <c r="F13" s="64"/>
      <c r="H13" s="177"/>
      <c r="I13" s="64"/>
      <c r="K13" s="177"/>
    </row>
    <row r="14" spans="2:11" ht="12.75">
      <c r="B14" s="60">
        <v>1</v>
      </c>
      <c r="C14" s="14" t="s">
        <v>58</v>
      </c>
      <c r="D14" s="60" t="s">
        <v>16</v>
      </c>
      <c r="E14" s="14"/>
      <c r="F14" s="67">
        <f>I14</f>
        <v>225309</v>
      </c>
      <c r="H14" s="178">
        <v>195884</v>
      </c>
      <c r="I14" s="67">
        <v>225309</v>
      </c>
      <c r="K14" s="186">
        <v>195884</v>
      </c>
    </row>
    <row r="15" spans="2:11" ht="12.75">
      <c r="B15" s="57"/>
      <c r="C15" s="58"/>
      <c r="D15" s="57"/>
      <c r="E15" s="58"/>
      <c r="F15" s="66"/>
      <c r="G15" s="58"/>
      <c r="H15" s="179"/>
      <c r="I15" s="66"/>
      <c r="J15" s="58"/>
      <c r="K15" s="187"/>
    </row>
    <row r="16" spans="2:11" ht="12.75">
      <c r="B16" s="53"/>
      <c r="C16" s="54" t="s">
        <v>59</v>
      </c>
      <c r="D16" s="53" t="s">
        <v>21</v>
      </c>
      <c r="E16" s="54"/>
      <c r="F16" s="164">
        <v>0</v>
      </c>
      <c r="G16" s="54"/>
      <c r="H16" s="180">
        <v>0</v>
      </c>
      <c r="I16" s="164">
        <v>0</v>
      </c>
      <c r="J16" s="54"/>
      <c r="K16" s="188">
        <v>0</v>
      </c>
    </row>
    <row r="17" spans="2:11" ht="12.75">
      <c r="B17" s="60"/>
      <c r="C17" s="14"/>
      <c r="D17" s="60"/>
      <c r="E17" s="14"/>
      <c r="F17" s="65"/>
      <c r="H17" s="178"/>
      <c r="I17" s="65"/>
      <c r="K17" s="186"/>
    </row>
    <row r="18" spans="2:11" ht="12.75">
      <c r="B18" s="57"/>
      <c r="C18" s="58" t="s">
        <v>60</v>
      </c>
      <c r="D18" s="57" t="s">
        <v>22</v>
      </c>
      <c r="E18" s="58"/>
      <c r="F18" s="68">
        <f>I18</f>
        <v>9879</v>
      </c>
      <c r="G18" s="58"/>
      <c r="H18" s="181">
        <v>9577</v>
      </c>
      <c r="I18" s="68">
        <v>9879</v>
      </c>
      <c r="J18" s="58"/>
      <c r="K18" s="187">
        <v>9577</v>
      </c>
    </row>
    <row r="19" spans="2:11" ht="12.75">
      <c r="B19" s="60"/>
      <c r="C19" s="14"/>
      <c r="D19" s="60"/>
      <c r="E19" s="14"/>
      <c r="F19" s="65"/>
      <c r="H19" s="178"/>
      <c r="I19" s="65"/>
      <c r="K19" s="186"/>
    </row>
    <row r="20" spans="2:11" ht="12.75">
      <c r="B20" s="60">
        <v>2</v>
      </c>
      <c r="C20" s="14" t="s">
        <v>58</v>
      </c>
      <c r="D20" s="60" t="s">
        <v>299</v>
      </c>
      <c r="E20" s="14"/>
      <c r="F20" s="65"/>
      <c r="H20" s="178"/>
      <c r="I20" s="65"/>
      <c r="K20" s="186"/>
    </row>
    <row r="21" spans="2:11" ht="12.75">
      <c r="B21" s="60"/>
      <c r="C21" s="14"/>
      <c r="D21" s="60" t="s">
        <v>23</v>
      </c>
      <c r="E21" s="14"/>
      <c r="F21" s="65"/>
      <c r="H21" s="178"/>
      <c r="I21" s="65"/>
      <c r="K21" s="186"/>
    </row>
    <row r="22" spans="2:11" ht="12.75">
      <c r="B22" s="60"/>
      <c r="C22" s="14"/>
      <c r="D22" s="60" t="s">
        <v>24</v>
      </c>
      <c r="E22" s="14"/>
      <c r="F22" s="65"/>
      <c r="H22" s="178"/>
      <c r="I22" s="65"/>
      <c r="K22" s="186"/>
    </row>
    <row r="23" spans="2:11" ht="12.75">
      <c r="B23" s="57"/>
      <c r="C23" s="58"/>
      <c r="D23" s="57" t="s">
        <v>25</v>
      </c>
      <c r="E23" s="58"/>
      <c r="F23" s="68">
        <f>I23</f>
        <v>45051</v>
      </c>
      <c r="G23" s="58"/>
      <c r="H23" s="181">
        <v>55314</v>
      </c>
      <c r="I23" s="8">
        <v>45051</v>
      </c>
      <c r="J23" s="58"/>
      <c r="K23" s="187">
        <v>55314</v>
      </c>
    </row>
    <row r="24" spans="2:11" ht="12.75">
      <c r="B24" s="60"/>
      <c r="C24" s="14"/>
      <c r="D24" s="60"/>
      <c r="E24" s="14"/>
      <c r="F24" s="65"/>
      <c r="H24" s="178"/>
      <c r="I24" s="65"/>
      <c r="K24" s="186"/>
    </row>
    <row r="25" spans="2:11" ht="12.75">
      <c r="B25" s="57"/>
      <c r="C25" s="58" t="s">
        <v>59</v>
      </c>
      <c r="D25" s="57" t="s">
        <v>26</v>
      </c>
      <c r="E25" s="58"/>
      <c r="F25" s="68">
        <f>I25</f>
        <v>13786</v>
      </c>
      <c r="G25" s="58"/>
      <c r="H25" s="181">
        <v>11321</v>
      </c>
      <c r="I25" s="68">
        <v>13786</v>
      </c>
      <c r="J25" s="58"/>
      <c r="K25" s="187">
        <v>11321</v>
      </c>
    </row>
    <row r="26" spans="2:11" ht="12.75">
      <c r="B26" s="60"/>
      <c r="C26" s="14"/>
      <c r="D26" s="60"/>
      <c r="E26" s="14"/>
      <c r="F26" s="65"/>
      <c r="H26" s="178"/>
      <c r="I26" s="65"/>
      <c r="K26" s="186"/>
    </row>
    <row r="27" spans="2:11" ht="12.75">
      <c r="B27" s="57"/>
      <c r="C27" s="58" t="s">
        <v>60</v>
      </c>
      <c r="D27" s="57" t="s">
        <v>27</v>
      </c>
      <c r="E27" s="58"/>
      <c r="F27" s="68">
        <f>I27</f>
        <v>4101</v>
      </c>
      <c r="G27" s="58"/>
      <c r="H27" s="181">
        <v>4299</v>
      </c>
      <c r="I27" s="68">
        <v>4101</v>
      </c>
      <c r="J27" s="58"/>
      <c r="K27" s="187">
        <v>4299</v>
      </c>
    </row>
    <row r="28" spans="2:11" ht="12.75">
      <c r="B28" s="60"/>
      <c r="C28" s="14"/>
      <c r="D28" s="60"/>
      <c r="E28" s="14"/>
      <c r="F28" s="65"/>
      <c r="H28" s="178"/>
      <c r="I28" s="65"/>
      <c r="K28" s="186"/>
    </row>
    <row r="29" spans="2:11" ht="12.75">
      <c r="B29" s="57"/>
      <c r="C29" s="58" t="s">
        <v>61</v>
      </c>
      <c r="D29" s="57" t="s">
        <v>17</v>
      </c>
      <c r="E29" s="58"/>
      <c r="F29" s="68">
        <f>I29</f>
        <v>33147</v>
      </c>
      <c r="G29" s="58"/>
      <c r="H29" s="181">
        <v>0</v>
      </c>
      <c r="I29" s="8">
        <v>33147</v>
      </c>
      <c r="J29" s="58"/>
      <c r="K29" s="187">
        <v>0</v>
      </c>
    </row>
    <row r="30" spans="2:11" ht="12.75">
      <c r="B30" s="60"/>
      <c r="C30" s="14"/>
      <c r="D30" s="60"/>
      <c r="E30" s="14"/>
      <c r="F30" s="65"/>
      <c r="H30" s="178"/>
      <c r="I30" s="65"/>
      <c r="K30" s="186"/>
    </row>
    <row r="31" spans="2:11" ht="12.75">
      <c r="B31" s="60"/>
      <c r="C31" s="14" t="s">
        <v>62</v>
      </c>
      <c r="D31" s="60" t="s">
        <v>300</v>
      </c>
      <c r="E31" s="14"/>
      <c r="F31" s="65"/>
      <c r="H31" s="178"/>
      <c r="I31" s="65"/>
      <c r="K31" s="186"/>
    </row>
    <row r="32" spans="2:11" ht="12.75">
      <c r="B32" s="60"/>
      <c r="C32" s="14"/>
      <c r="D32" s="60" t="s">
        <v>23</v>
      </c>
      <c r="E32" s="14"/>
      <c r="F32" s="65"/>
      <c r="H32" s="178"/>
      <c r="I32" s="65"/>
      <c r="K32" s="186"/>
    </row>
    <row r="33" spans="2:11" ht="12.75">
      <c r="B33" s="60"/>
      <c r="C33" s="14"/>
      <c r="D33" s="60" t="s">
        <v>28</v>
      </c>
      <c r="E33" s="14"/>
      <c r="F33" s="65"/>
      <c r="H33" s="178"/>
      <c r="I33" s="65"/>
      <c r="K33" s="186"/>
    </row>
    <row r="34" spans="2:11" ht="12.75">
      <c r="B34" s="60"/>
      <c r="C34" s="14"/>
      <c r="D34" s="60" t="s">
        <v>29</v>
      </c>
      <c r="E34" s="14"/>
      <c r="F34" s="65"/>
      <c r="H34" s="178"/>
      <c r="I34" s="65"/>
      <c r="K34" s="186"/>
    </row>
    <row r="35" spans="2:13" ht="12.75">
      <c r="B35" s="57"/>
      <c r="C35" s="58"/>
      <c r="D35" s="57" t="s">
        <v>30</v>
      </c>
      <c r="E35" s="58"/>
      <c r="F35" s="68">
        <f>I35</f>
        <v>60311</v>
      </c>
      <c r="G35" s="58"/>
      <c r="H35" s="181">
        <f>H23-H25-H27+H29</f>
        <v>39694</v>
      </c>
      <c r="I35" s="8">
        <f>I23-I25-I27+I29</f>
        <v>60311</v>
      </c>
      <c r="J35" s="58"/>
      <c r="K35" s="187">
        <v>39694</v>
      </c>
      <c r="M35" s="116"/>
    </row>
    <row r="36" spans="2:11" ht="12.75">
      <c r="B36" s="60"/>
      <c r="C36" s="14"/>
      <c r="D36" s="60"/>
      <c r="E36" s="14"/>
      <c r="F36" s="65"/>
      <c r="H36" s="178"/>
      <c r="I36" s="65"/>
      <c r="K36" s="186"/>
    </row>
    <row r="37" spans="2:11" ht="12.75">
      <c r="B37" s="60"/>
      <c r="C37" s="14" t="s">
        <v>63</v>
      </c>
      <c r="D37" s="60" t="s">
        <v>31</v>
      </c>
      <c r="E37" s="14"/>
      <c r="F37" s="65"/>
      <c r="H37" s="178"/>
      <c r="I37" s="65"/>
      <c r="K37" s="186"/>
    </row>
    <row r="38" spans="2:11" ht="12.75">
      <c r="B38" s="60"/>
      <c r="C38" s="14"/>
      <c r="D38" s="60" t="s">
        <v>32</v>
      </c>
      <c r="E38" s="14"/>
      <c r="F38" s="171">
        <v>0</v>
      </c>
      <c r="H38" s="178">
        <v>0</v>
      </c>
      <c r="I38" s="171">
        <v>0</v>
      </c>
      <c r="K38" s="186">
        <v>0</v>
      </c>
    </row>
    <row r="39" spans="2:11" ht="12.75">
      <c r="B39" s="60"/>
      <c r="C39" s="14"/>
      <c r="D39" s="60"/>
      <c r="E39" s="14"/>
      <c r="F39" s="65"/>
      <c r="H39" s="178"/>
      <c r="I39" s="65"/>
      <c r="K39" s="186"/>
    </row>
    <row r="40" spans="2:11" ht="12.75">
      <c r="B40" s="60"/>
      <c r="C40" s="14" t="s">
        <v>64</v>
      </c>
      <c r="D40" s="60" t="s">
        <v>301</v>
      </c>
      <c r="E40" s="14"/>
      <c r="F40" s="65"/>
      <c r="H40" s="178"/>
      <c r="I40" s="65"/>
      <c r="K40" s="186"/>
    </row>
    <row r="41" spans="2:11" ht="12.75">
      <c r="B41" s="57"/>
      <c r="C41" s="58"/>
      <c r="D41" s="57" t="s">
        <v>33</v>
      </c>
      <c r="E41" s="58"/>
      <c r="F41" s="68">
        <f>I41</f>
        <v>60311</v>
      </c>
      <c r="G41" s="58"/>
      <c r="H41" s="181">
        <f>H35</f>
        <v>39694</v>
      </c>
      <c r="I41" s="8">
        <f>I35</f>
        <v>60311</v>
      </c>
      <c r="J41" s="58"/>
      <c r="K41" s="187">
        <f>K35</f>
        <v>39694</v>
      </c>
    </row>
    <row r="42" spans="2:11" ht="12.75">
      <c r="B42" s="60"/>
      <c r="C42" s="14"/>
      <c r="D42" s="60"/>
      <c r="E42" s="14"/>
      <c r="F42" s="65"/>
      <c r="H42" s="178"/>
      <c r="I42" s="65"/>
      <c r="K42" s="186"/>
    </row>
    <row r="43" spans="2:11" ht="12.75">
      <c r="B43" s="57"/>
      <c r="C43" s="58" t="s">
        <v>65</v>
      </c>
      <c r="D43" s="57" t="s">
        <v>14</v>
      </c>
      <c r="E43" s="58"/>
      <c r="F43" s="68">
        <f>I43</f>
        <v>-19322</v>
      </c>
      <c r="G43" s="58"/>
      <c r="H43" s="181">
        <v>-9331</v>
      </c>
      <c r="I43" s="8">
        <v>-19322</v>
      </c>
      <c r="J43" s="58"/>
      <c r="K43" s="187">
        <v>-9331</v>
      </c>
    </row>
    <row r="44" spans="2:11" ht="12.75">
      <c r="B44" s="60"/>
      <c r="C44" s="14"/>
      <c r="D44" s="60"/>
      <c r="E44" s="14"/>
      <c r="F44" s="65"/>
      <c r="H44" s="178"/>
      <c r="I44" s="65"/>
      <c r="K44" s="186"/>
    </row>
    <row r="45" spans="2:11" ht="12.75">
      <c r="B45" s="60"/>
      <c r="C45" s="14" t="s">
        <v>41</v>
      </c>
      <c r="D45" s="60" t="s">
        <v>41</v>
      </c>
      <c r="E45" s="14" t="s">
        <v>18</v>
      </c>
      <c r="F45" s="65"/>
      <c r="H45" s="178"/>
      <c r="I45" s="65"/>
      <c r="K45" s="186"/>
    </row>
    <row r="46" spans="2:11" ht="12.75">
      <c r="B46" s="57"/>
      <c r="C46" s="58"/>
      <c r="D46" s="57"/>
      <c r="E46" s="58" t="s">
        <v>66</v>
      </c>
      <c r="F46" s="68">
        <f>I46</f>
        <v>40989</v>
      </c>
      <c r="G46" s="58"/>
      <c r="H46" s="181">
        <v>30363</v>
      </c>
      <c r="I46" s="8">
        <f>I41+I43</f>
        <v>40989</v>
      </c>
      <c r="J46" s="58"/>
      <c r="K46" s="187">
        <f>39694+K43</f>
        <v>30363</v>
      </c>
    </row>
    <row r="47" spans="2:11" ht="12.75">
      <c r="B47" s="60"/>
      <c r="C47" s="14"/>
      <c r="D47" s="60"/>
      <c r="E47" s="14"/>
      <c r="F47" s="65"/>
      <c r="H47" s="178"/>
      <c r="I47" s="65"/>
      <c r="K47" s="186"/>
    </row>
    <row r="48" spans="2:11" ht="12.75">
      <c r="B48" s="57"/>
      <c r="C48" s="58"/>
      <c r="D48" s="57" t="s">
        <v>42</v>
      </c>
      <c r="E48" s="58" t="s">
        <v>67</v>
      </c>
      <c r="F48" s="68">
        <f>I48</f>
        <v>-15951</v>
      </c>
      <c r="G48" s="58"/>
      <c r="H48" s="181">
        <v>-22094</v>
      </c>
      <c r="I48" s="68">
        <v>-15951</v>
      </c>
      <c r="J48" s="58"/>
      <c r="K48" s="187">
        <v>-22094</v>
      </c>
    </row>
    <row r="49" spans="2:11" ht="12.75">
      <c r="B49" s="60"/>
      <c r="C49" s="14"/>
      <c r="D49" s="60"/>
      <c r="E49" s="14"/>
      <c r="F49" s="65"/>
      <c r="H49" s="178"/>
      <c r="I49" s="65"/>
      <c r="K49" s="186"/>
    </row>
    <row r="50" spans="2:11" ht="12.75">
      <c r="B50" s="60"/>
      <c r="C50" s="14" t="s">
        <v>68</v>
      </c>
      <c r="D50" s="60" t="s">
        <v>34</v>
      </c>
      <c r="E50" s="14"/>
      <c r="F50" s="65"/>
      <c r="H50" s="178"/>
      <c r="I50" s="65"/>
      <c r="K50" s="186"/>
    </row>
    <row r="51" spans="2:11" ht="12.75">
      <c r="B51" s="57"/>
      <c r="C51" s="58"/>
      <c r="D51" s="57" t="s">
        <v>35</v>
      </c>
      <c r="E51" s="58"/>
      <c r="F51" s="68">
        <f>I51</f>
        <v>25038</v>
      </c>
      <c r="G51" s="58"/>
      <c r="H51" s="181">
        <f>H46+H48</f>
        <v>8269</v>
      </c>
      <c r="I51" s="68">
        <f>I46+I48</f>
        <v>25038</v>
      </c>
      <c r="J51" s="58"/>
      <c r="K51" s="187">
        <f>K46+K48</f>
        <v>8269</v>
      </c>
    </row>
    <row r="52" spans="2:11" ht="12.75">
      <c r="B52" s="60"/>
      <c r="C52" s="14"/>
      <c r="D52" s="60"/>
      <c r="E52" s="14"/>
      <c r="F52" s="65"/>
      <c r="H52" s="178"/>
      <c r="I52" s="65"/>
      <c r="K52" s="186"/>
    </row>
    <row r="53" spans="2:11" ht="12.75">
      <c r="B53" s="57"/>
      <c r="C53" s="58" t="s">
        <v>69</v>
      </c>
      <c r="D53" s="57" t="s">
        <v>41</v>
      </c>
      <c r="E53" s="58" t="s">
        <v>70</v>
      </c>
      <c r="F53" s="172">
        <v>0</v>
      </c>
      <c r="G53" s="58"/>
      <c r="H53" s="181">
        <v>0</v>
      </c>
      <c r="I53" s="172">
        <v>0</v>
      </c>
      <c r="J53" s="58"/>
      <c r="K53" s="187">
        <v>0</v>
      </c>
    </row>
    <row r="54" spans="2:11" ht="12.75">
      <c r="B54" s="53"/>
      <c r="C54" s="54"/>
      <c r="D54" s="53" t="s">
        <v>42</v>
      </c>
      <c r="E54" s="54" t="s">
        <v>67</v>
      </c>
      <c r="F54" s="173">
        <v>0</v>
      </c>
      <c r="G54" s="54"/>
      <c r="H54" s="180">
        <v>0</v>
      </c>
      <c r="I54" s="173">
        <v>0</v>
      </c>
      <c r="J54" s="54"/>
      <c r="K54" s="188">
        <v>0</v>
      </c>
    </row>
    <row r="55" spans="2:11" ht="12.75">
      <c r="B55" s="60"/>
      <c r="C55" s="14"/>
      <c r="D55" s="60" t="s">
        <v>71</v>
      </c>
      <c r="E55" s="14" t="s">
        <v>72</v>
      </c>
      <c r="F55" s="65"/>
      <c r="H55" s="178"/>
      <c r="I55" s="65"/>
      <c r="K55" s="186"/>
    </row>
    <row r="56" spans="2:11" ht="12.75">
      <c r="B56" s="57"/>
      <c r="C56" s="58"/>
      <c r="D56" s="57"/>
      <c r="E56" s="58" t="s">
        <v>73</v>
      </c>
      <c r="F56" s="172">
        <v>0</v>
      </c>
      <c r="G56" s="58"/>
      <c r="H56" s="181">
        <v>0</v>
      </c>
      <c r="I56" s="172">
        <v>0</v>
      </c>
      <c r="J56" s="58"/>
      <c r="K56" s="187">
        <v>0</v>
      </c>
    </row>
    <row r="57" spans="2:11" ht="12.75">
      <c r="B57" s="60"/>
      <c r="C57" s="14"/>
      <c r="D57" s="60"/>
      <c r="E57" s="14"/>
      <c r="F57" s="65"/>
      <c r="H57" s="178"/>
      <c r="I57" s="65"/>
      <c r="K57" s="186"/>
    </row>
    <row r="58" spans="2:11" ht="12.75">
      <c r="B58" s="60"/>
      <c r="C58" s="14" t="s">
        <v>74</v>
      </c>
      <c r="D58" s="60" t="s">
        <v>302</v>
      </c>
      <c r="E58" s="14"/>
      <c r="F58" s="65"/>
      <c r="H58" s="178"/>
      <c r="I58" s="65"/>
      <c r="K58" s="186"/>
    </row>
    <row r="59" spans="2:11" ht="12.75">
      <c r="B59" s="60"/>
      <c r="C59" s="14"/>
      <c r="D59" s="60" t="s">
        <v>36</v>
      </c>
      <c r="E59" s="14"/>
      <c r="F59" s="65"/>
      <c r="H59" s="178"/>
      <c r="I59" s="65"/>
      <c r="K59" s="186"/>
    </row>
    <row r="60" spans="2:11" ht="12.75">
      <c r="B60" s="60"/>
      <c r="C60" s="14"/>
      <c r="D60" s="60" t="s">
        <v>37</v>
      </c>
      <c r="E60" s="14"/>
      <c r="F60" s="69">
        <f>F51-F53-F54-F56</f>
        <v>25038</v>
      </c>
      <c r="H60" s="181">
        <f>H51</f>
        <v>8269</v>
      </c>
      <c r="I60" s="69">
        <f>I51-I53-I54-I56</f>
        <v>25038</v>
      </c>
      <c r="K60" s="187">
        <f>K51</f>
        <v>8269</v>
      </c>
    </row>
    <row r="61" spans="2:11" ht="12.75">
      <c r="B61" s="55"/>
      <c r="C61" s="56"/>
      <c r="D61" s="55"/>
      <c r="E61" s="56"/>
      <c r="F61" s="56"/>
      <c r="G61" s="56"/>
      <c r="H61" s="182"/>
      <c r="I61" s="56"/>
      <c r="J61" s="56"/>
      <c r="K61" s="189"/>
    </row>
    <row r="62" spans="2:11" ht="12.75">
      <c r="B62" s="60">
        <v>3</v>
      </c>
      <c r="C62" s="14" t="s">
        <v>58</v>
      </c>
      <c r="D62" s="60" t="s">
        <v>38</v>
      </c>
      <c r="E62" s="14"/>
      <c r="F62" s="14"/>
      <c r="G62" s="14"/>
      <c r="H62" s="183"/>
      <c r="I62" s="14"/>
      <c r="J62" s="14"/>
      <c r="K62" s="190"/>
    </row>
    <row r="63" spans="2:11" ht="12.75">
      <c r="B63" s="60"/>
      <c r="C63" s="14"/>
      <c r="D63" s="60" t="s">
        <v>39</v>
      </c>
      <c r="E63" s="14"/>
      <c r="F63" s="14"/>
      <c r="G63" s="14"/>
      <c r="H63" s="183"/>
      <c r="I63" s="14"/>
      <c r="J63" s="14"/>
      <c r="K63" s="190"/>
    </row>
    <row r="64" spans="2:11" ht="12.75">
      <c r="B64" s="57"/>
      <c r="C64" s="58"/>
      <c r="D64" s="57" t="s">
        <v>40</v>
      </c>
      <c r="E64" s="58"/>
      <c r="F64" s="58"/>
      <c r="G64" s="58"/>
      <c r="H64" s="184"/>
      <c r="I64" s="58"/>
      <c r="J64" s="58"/>
      <c r="K64" s="176"/>
    </row>
    <row r="65" spans="2:11" ht="12.75">
      <c r="B65" s="55"/>
      <c r="C65" s="56"/>
      <c r="D65" s="55"/>
      <c r="E65" s="56"/>
      <c r="F65" s="64"/>
      <c r="G65" s="56"/>
      <c r="H65" s="177"/>
      <c r="I65" s="64"/>
      <c r="J65" s="56"/>
      <c r="K65" s="177"/>
    </row>
    <row r="66" spans="2:11" ht="12.75">
      <c r="B66" s="60"/>
      <c r="C66" s="14"/>
      <c r="D66" s="60" t="s">
        <v>41</v>
      </c>
      <c r="E66" s="14" t="s">
        <v>75</v>
      </c>
      <c r="F66" s="65"/>
      <c r="G66" s="14"/>
      <c r="H66" s="185"/>
      <c r="I66" s="65"/>
      <c r="J66" s="14"/>
      <c r="K66" s="185"/>
    </row>
    <row r="67" spans="2:11" ht="12.75">
      <c r="B67" s="57"/>
      <c r="C67" s="58"/>
      <c r="D67" s="57"/>
      <c r="E67" s="58" t="s">
        <v>76</v>
      </c>
      <c r="F67" s="195">
        <f>I67</f>
        <v>31.64</v>
      </c>
      <c r="G67" s="71"/>
      <c r="H67" s="193">
        <v>10.45</v>
      </c>
      <c r="I67" s="174">
        <v>31.64</v>
      </c>
      <c r="J67" s="58"/>
      <c r="K67" s="191">
        <v>10.45</v>
      </c>
    </row>
    <row r="68" spans="2:11" ht="12.75">
      <c r="B68" s="55"/>
      <c r="C68" s="56"/>
      <c r="D68" s="55"/>
      <c r="E68" s="56"/>
      <c r="F68" s="196"/>
      <c r="G68" s="56"/>
      <c r="H68" s="177"/>
      <c r="I68" s="113"/>
      <c r="J68" s="56"/>
      <c r="K68" s="177"/>
    </row>
    <row r="69" spans="2:11" ht="12.75">
      <c r="B69" s="60"/>
      <c r="C69" s="14"/>
      <c r="D69" s="60" t="s">
        <v>42</v>
      </c>
      <c r="E69" s="14" t="s">
        <v>77</v>
      </c>
      <c r="F69" s="197"/>
      <c r="G69" s="14"/>
      <c r="H69" s="185"/>
      <c r="I69" s="7"/>
      <c r="J69" s="14"/>
      <c r="K69" s="185"/>
    </row>
    <row r="70" spans="2:11" ht="12.75">
      <c r="B70" s="57"/>
      <c r="C70" s="58"/>
      <c r="D70" s="57"/>
      <c r="E70" s="58" t="s">
        <v>76</v>
      </c>
      <c r="F70" s="195">
        <f>I70</f>
        <v>31.64</v>
      </c>
      <c r="G70" s="58"/>
      <c r="H70" s="192">
        <v>10.45</v>
      </c>
      <c r="I70" s="175">
        <v>31.64</v>
      </c>
      <c r="J70" s="58"/>
      <c r="K70" s="194">
        <v>10.45</v>
      </c>
    </row>
    <row r="71" spans="2:11" ht="12.75">
      <c r="B71" s="55"/>
      <c r="C71" s="56"/>
      <c r="D71" s="55"/>
      <c r="E71" s="56"/>
      <c r="F71" s="64"/>
      <c r="G71" s="56"/>
      <c r="H71" s="177"/>
      <c r="I71" s="113"/>
      <c r="J71" s="56"/>
      <c r="K71" s="177"/>
    </row>
    <row r="72" spans="2:11" ht="12.75">
      <c r="B72" s="60">
        <v>4</v>
      </c>
      <c r="C72" s="14" t="s">
        <v>58</v>
      </c>
      <c r="D72" s="60" t="s">
        <v>118</v>
      </c>
      <c r="E72" s="14"/>
      <c r="F72" s="171">
        <v>0</v>
      </c>
      <c r="G72" s="14"/>
      <c r="H72" s="7">
        <v>0</v>
      </c>
      <c r="I72" s="7">
        <v>0</v>
      </c>
      <c r="J72" s="14"/>
      <c r="K72" s="7">
        <v>0</v>
      </c>
    </row>
    <row r="73" spans="2:11" ht="12.75">
      <c r="B73" s="60"/>
      <c r="C73" s="14"/>
      <c r="D73" s="60"/>
      <c r="E73" s="14"/>
      <c r="F73" s="65"/>
      <c r="G73" s="14"/>
      <c r="H73" s="185"/>
      <c r="I73" s="7"/>
      <c r="J73" s="14"/>
      <c r="K73" s="185"/>
    </row>
    <row r="74" spans="2:11" ht="12.75">
      <c r="B74" s="57"/>
      <c r="C74" s="58" t="s">
        <v>59</v>
      </c>
      <c r="D74" s="57" t="s">
        <v>119</v>
      </c>
      <c r="E74" s="58"/>
      <c r="F74" s="225"/>
      <c r="G74" s="226"/>
      <c r="H74" s="226"/>
      <c r="I74" s="226"/>
      <c r="J74" s="226"/>
      <c r="K74" s="227"/>
    </row>
    <row r="76" spans="2:11" ht="12.75">
      <c r="B76" s="55"/>
      <c r="C76" s="56"/>
      <c r="D76" s="56"/>
      <c r="E76" s="56"/>
      <c r="F76" s="223" t="s">
        <v>120</v>
      </c>
      <c r="G76" s="224"/>
      <c r="H76" s="198"/>
      <c r="I76" s="224" t="s">
        <v>121</v>
      </c>
      <c r="J76" s="224"/>
      <c r="K76" s="198"/>
    </row>
    <row r="77" spans="2:11" ht="12.75">
      <c r="B77" s="57"/>
      <c r="C77" s="58"/>
      <c r="D77" s="58"/>
      <c r="E77" s="58"/>
      <c r="F77" s="57"/>
      <c r="G77" s="58"/>
      <c r="H77" s="176"/>
      <c r="I77" s="209" t="s">
        <v>83</v>
      </c>
      <c r="J77" s="209"/>
      <c r="K77" s="210"/>
    </row>
    <row r="78" spans="2:11" ht="12.75">
      <c r="B78" s="53">
        <v>5</v>
      </c>
      <c r="C78" s="54"/>
      <c r="D78" s="53" t="s">
        <v>137</v>
      </c>
      <c r="E78" s="54"/>
      <c r="F78" s="211" t="s">
        <v>294</v>
      </c>
      <c r="G78" s="212"/>
      <c r="H78" s="213"/>
      <c r="I78" s="214" t="s">
        <v>277</v>
      </c>
      <c r="J78" s="215"/>
      <c r="K78" s="216"/>
    </row>
  </sheetData>
  <mergeCells count="8">
    <mergeCell ref="I77:K77"/>
    <mergeCell ref="F78:H78"/>
    <mergeCell ref="I78:K78"/>
    <mergeCell ref="F8:H8"/>
    <mergeCell ref="I8:K8"/>
    <mergeCell ref="F76:H76"/>
    <mergeCell ref="I76:K76"/>
    <mergeCell ref="F74:K74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&amp;C&amp;"Arial,Bold"&amp;12PSC INDUSTRIES BERHAD
(11106-V)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75" zoomScaleNormal="75" workbookViewId="0" topLeftCell="A1">
      <selection activeCell="F84" sqref="F84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59.0039062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201" t="s">
        <v>0</v>
      </c>
      <c r="B1" s="228"/>
      <c r="C1" s="228"/>
      <c r="D1" s="228"/>
      <c r="E1" s="228"/>
      <c r="F1" s="229"/>
    </row>
    <row r="2" spans="1:6" ht="12.75">
      <c r="A2" s="232" t="s">
        <v>141</v>
      </c>
      <c r="B2" s="233"/>
      <c r="C2" s="233"/>
      <c r="D2" s="233"/>
      <c r="E2" s="233"/>
      <c r="F2" s="234"/>
    </row>
    <row r="3" spans="1:6" ht="15.75">
      <c r="A3" s="110"/>
      <c r="B3" s="109"/>
      <c r="C3" s="109"/>
      <c r="D3" s="109"/>
      <c r="E3" s="109"/>
      <c r="F3" s="109"/>
    </row>
    <row r="4" spans="1:6" ht="15.75">
      <c r="A4" s="230" t="s">
        <v>78</v>
      </c>
      <c r="B4" s="200"/>
      <c r="C4" s="200"/>
      <c r="D4" s="200"/>
      <c r="E4" s="200"/>
      <c r="F4" s="200"/>
    </row>
    <row r="5" spans="1:6" ht="12.75">
      <c r="A5" s="207" t="s">
        <v>183</v>
      </c>
      <c r="B5" s="231"/>
      <c r="C5" s="231"/>
      <c r="D5" s="231"/>
      <c r="E5" s="231"/>
      <c r="F5" s="231"/>
    </row>
    <row r="7" spans="4:6" ht="12.75">
      <c r="D7" s="3" t="s">
        <v>79</v>
      </c>
      <c r="E7" s="3"/>
      <c r="F7" s="3" t="s">
        <v>79</v>
      </c>
    </row>
    <row r="8" spans="4:6" ht="12.75">
      <c r="D8" s="3" t="s">
        <v>80</v>
      </c>
      <c r="E8" s="3"/>
      <c r="F8" s="3" t="s">
        <v>81</v>
      </c>
    </row>
    <row r="9" spans="4:6" ht="12.75">
      <c r="D9" s="3" t="s">
        <v>53</v>
      </c>
      <c r="E9" s="3"/>
      <c r="F9" s="3" t="s">
        <v>82</v>
      </c>
    </row>
    <row r="10" spans="4:6" ht="12.75">
      <c r="D10" s="3" t="s">
        <v>184</v>
      </c>
      <c r="E10" s="3"/>
      <c r="F10" s="3" t="s">
        <v>83</v>
      </c>
    </row>
    <row r="11" spans="4:6" ht="12.75">
      <c r="D11" s="112" t="s">
        <v>288</v>
      </c>
      <c r="E11" s="3"/>
      <c r="F11" s="112" t="s">
        <v>273</v>
      </c>
    </row>
    <row r="12" spans="4:6" ht="12.75">
      <c r="D12" s="3" t="s">
        <v>57</v>
      </c>
      <c r="E12" s="3"/>
      <c r="F12" s="3" t="s">
        <v>57</v>
      </c>
    </row>
    <row r="14" spans="1:6" ht="12.75">
      <c r="A14">
        <v>1</v>
      </c>
      <c r="B14" t="s">
        <v>84</v>
      </c>
      <c r="D14" s="5">
        <f>217406</f>
        <v>217406</v>
      </c>
      <c r="F14" s="5">
        <v>216662</v>
      </c>
    </row>
    <row r="15" spans="4:6" ht="6" customHeight="1">
      <c r="D15" s="5"/>
      <c r="F15" s="5"/>
    </row>
    <row r="16" spans="1:6" ht="12.75">
      <c r="A16">
        <v>2</v>
      </c>
      <c r="B16" t="s">
        <v>85</v>
      </c>
      <c r="D16" s="5">
        <v>2887</v>
      </c>
      <c r="F16" s="5">
        <v>2887</v>
      </c>
    </row>
    <row r="17" spans="4:6" ht="6" customHeight="1">
      <c r="D17" s="5"/>
      <c r="F17" s="5"/>
    </row>
    <row r="18" spans="1:6" ht="12.75">
      <c r="A18">
        <v>3</v>
      </c>
      <c r="B18" t="s">
        <v>125</v>
      </c>
      <c r="D18" s="5">
        <v>117000</v>
      </c>
      <c r="F18" s="5">
        <f>117000</f>
        <v>117000</v>
      </c>
    </row>
    <row r="19" spans="4:6" ht="6" customHeight="1">
      <c r="D19" s="5"/>
      <c r="F19" s="5"/>
    </row>
    <row r="20" spans="1:6" ht="12.75">
      <c r="A20">
        <v>4</v>
      </c>
      <c r="B20" t="s">
        <v>86</v>
      </c>
      <c r="D20" s="5">
        <v>1794</v>
      </c>
      <c r="F20" s="5">
        <v>2162</v>
      </c>
    </row>
    <row r="21" spans="4:6" ht="6" customHeight="1">
      <c r="D21" s="5"/>
      <c r="F21" s="5"/>
    </row>
    <row r="22" spans="1:6" ht="12.75">
      <c r="A22">
        <v>5</v>
      </c>
      <c r="B22" t="s">
        <v>126</v>
      </c>
      <c r="D22" s="5">
        <v>2978</v>
      </c>
      <c r="F22" s="5">
        <v>2987</v>
      </c>
    </row>
    <row r="23" spans="4:6" ht="6" customHeight="1">
      <c r="D23" s="5"/>
      <c r="F23" s="5"/>
    </row>
    <row r="24" spans="1:6" ht="12.75">
      <c r="A24">
        <v>6</v>
      </c>
      <c r="B24" t="s">
        <v>127</v>
      </c>
      <c r="D24" s="5">
        <v>81984</v>
      </c>
      <c r="F24" s="5">
        <v>82972</v>
      </c>
    </row>
    <row r="25" spans="4:6" ht="6" customHeight="1">
      <c r="D25" s="5"/>
      <c r="F25" s="5"/>
    </row>
    <row r="26" spans="1:6" ht="12.75">
      <c r="A26">
        <v>7</v>
      </c>
      <c r="B26" t="s">
        <v>124</v>
      </c>
      <c r="D26" s="5">
        <v>20586</v>
      </c>
      <c r="F26" s="5">
        <v>16566</v>
      </c>
    </row>
    <row r="27" spans="4:6" ht="6" customHeight="1">
      <c r="D27" s="5"/>
      <c r="F27" s="5"/>
    </row>
    <row r="28" spans="1:6" ht="12.75">
      <c r="A28">
        <v>8</v>
      </c>
      <c r="B28" t="s">
        <v>128</v>
      </c>
      <c r="D28" s="5">
        <v>213957</v>
      </c>
      <c r="F28" s="5">
        <v>213957</v>
      </c>
    </row>
    <row r="29" spans="4:6" ht="12.75">
      <c r="D29" s="5"/>
      <c r="F29" s="5"/>
    </row>
    <row r="30" spans="1:6" ht="12.75">
      <c r="A30">
        <v>9</v>
      </c>
      <c r="B30" s="73" t="s">
        <v>185</v>
      </c>
      <c r="D30" s="5"/>
      <c r="F30" s="5"/>
    </row>
    <row r="31" spans="3:6" ht="18.75" customHeight="1">
      <c r="C31" s="72" t="s">
        <v>265</v>
      </c>
      <c r="D31" s="113">
        <v>1135463</v>
      </c>
      <c r="F31" s="113">
        <v>1034151</v>
      </c>
    </row>
    <row r="32" spans="3:6" ht="12.75" customHeight="1">
      <c r="C32" s="72" t="s">
        <v>266</v>
      </c>
      <c r="D32" s="7">
        <v>57149</v>
      </c>
      <c r="F32" s="7">
        <v>46281</v>
      </c>
    </row>
    <row r="33" spans="3:6" ht="12.75">
      <c r="C33" s="4" t="s">
        <v>13</v>
      </c>
      <c r="D33" s="7">
        <v>8873</v>
      </c>
      <c r="F33" s="7">
        <v>9596</v>
      </c>
    </row>
    <row r="34" spans="3:6" ht="12.75">
      <c r="C34" s="4" t="s">
        <v>87</v>
      </c>
      <c r="D34" s="7">
        <v>127105</v>
      </c>
      <c r="F34" s="7">
        <v>147625</v>
      </c>
    </row>
    <row r="35" spans="3:6" ht="12.75">
      <c r="C35" s="4" t="s">
        <v>129</v>
      </c>
      <c r="D35" s="7">
        <v>126818</v>
      </c>
      <c r="F35" s="7">
        <v>126270</v>
      </c>
    </row>
    <row r="36" spans="3:6" ht="12.75">
      <c r="C36" s="4" t="s">
        <v>130</v>
      </c>
      <c r="D36" s="7">
        <v>920530</v>
      </c>
      <c r="F36" s="7">
        <v>951582</v>
      </c>
    </row>
    <row r="37" spans="3:6" ht="12.75">
      <c r="C37" s="4" t="s">
        <v>131</v>
      </c>
      <c r="D37" s="8">
        <v>6771</v>
      </c>
      <c r="F37" s="8">
        <v>9480</v>
      </c>
    </row>
    <row r="38" spans="3:6" ht="4.5" customHeight="1">
      <c r="C38" s="4"/>
      <c r="D38" s="113"/>
      <c r="F38" s="113"/>
    </row>
    <row r="39" spans="3:6" ht="12.75">
      <c r="C39" s="4"/>
      <c r="D39" s="8">
        <f>SUM(D31:D38)</f>
        <v>2382709</v>
      </c>
      <c r="F39" s="8">
        <f>SUM(F31:F38)</f>
        <v>2324985</v>
      </c>
    </row>
    <row r="40" spans="3:6" ht="12.75">
      <c r="C40" s="116"/>
      <c r="D40" s="5"/>
      <c r="F40" s="5"/>
    </row>
    <row r="41" spans="1:6" ht="12.75">
      <c r="A41">
        <v>10</v>
      </c>
      <c r="B41" s="73" t="s">
        <v>89</v>
      </c>
      <c r="D41" s="5"/>
      <c r="F41" s="5"/>
    </row>
    <row r="42" spans="3:6" ht="18.75" customHeight="1">
      <c r="C42" s="4" t="s">
        <v>90</v>
      </c>
      <c r="D42" s="113">
        <v>1596696</v>
      </c>
      <c r="F42" s="113">
        <v>1620265</v>
      </c>
    </row>
    <row r="43" spans="3:6" ht="12.75">
      <c r="C43" s="4" t="s">
        <v>132</v>
      </c>
      <c r="D43" s="7">
        <f>55291+36292</f>
        <v>91583</v>
      </c>
      <c r="F43" s="7">
        <v>102803</v>
      </c>
    </row>
    <row r="44" spans="3:6" ht="12.75">
      <c r="C44" s="4" t="s">
        <v>133</v>
      </c>
      <c r="D44" s="7">
        <v>506869</v>
      </c>
      <c r="F44" s="7">
        <v>406464</v>
      </c>
    </row>
    <row r="45" spans="3:6" ht="12.75">
      <c r="C45" s="4" t="s">
        <v>134</v>
      </c>
      <c r="D45" s="7">
        <v>153363</v>
      </c>
      <c r="F45" s="7">
        <v>170978</v>
      </c>
    </row>
    <row r="46" spans="3:6" ht="12.75">
      <c r="C46" s="4" t="s">
        <v>135</v>
      </c>
      <c r="D46" s="7">
        <v>6330</v>
      </c>
      <c r="F46" s="7">
        <v>6330</v>
      </c>
    </row>
    <row r="47" spans="3:6" ht="12.75">
      <c r="C47" s="4" t="s">
        <v>14</v>
      </c>
      <c r="D47" s="8">
        <v>19533</v>
      </c>
      <c r="F47" s="8">
        <v>19792</v>
      </c>
    </row>
    <row r="48" spans="3:6" ht="6" customHeight="1">
      <c r="C48" s="4"/>
      <c r="D48" s="113"/>
      <c r="F48" s="64"/>
    </row>
    <row r="49" spans="3:6" ht="12.75">
      <c r="C49" s="4"/>
      <c r="D49" s="8">
        <f>SUM(D42:D48)</f>
        <v>2374374</v>
      </c>
      <c r="F49" s="8">
        <f>SUM(F42:F48)</f>
        <v>2326632</v>
      </c>
    </row>
    <row r="50" spans="3:4" ht="12.75">
      <c r="C50" s="116"/>
      <c r="D50" s="5"/>
    </row>
    <row r="51" spans="1:6" ht="12.75">
      <c r="A51">
        <v>11</v>
      </c>
      <c r="B51" s="73" t="s">
        <v>186</v>
      </c>
      <c r="D51" s="5">
        <f>D39-D49</f>
        <v>8335</v>
      </c>
      <c r="F51" s="5">
        <f>F39-F49</f>
        <v>-1647</v>
      </c>
    </row>
    <row r="52" ht="9" customHeight="1">
      <c r="D52" s="5"/>
    </row>
    <row r="53" spans="4:6" ht="21.75" customHeight="1" thickBot="1">
      <c r="D53" s="12">
        <f>SUM(D14:D28)+D51</f>
        <v>666927</v>
      </c>
      <c r="F53" s="12">
        <f>SUM(F14:F28)+F51</f>
        <v>653546</v>
      </c>
    </row>
    <row r="54" ht="13.5" thickTop="1">
      <c r="D54" s="5"/>
    </row>
    <row r="55" spans="1:4" ht="12.75">
      <c r="A55">
        <v>12</v>
      </c>
      <c r="B55" s="73" t="s">
        <v>91</v>
      </c>
      <c r="D55" s="5"/>
    </row>
    <row r="56" spans="2:6" ht="12.75">
      <c r="B56" t="s">
        <v>92</v>
      </c>
      <c r="D56" s="5">
        <v>79129</v>
      </c>
      <c r="F56" s="5">
        <v>79129</v>
      </c>
    </row>
    <row r="57" spans="2:6" ht="12.75">
      <c r="B57" s="73" t="s">
        <v>93</v>
      </c>
      <c r="D57" s="5"/>
      <c r="F57" s="5"/>
    </row>
    <row r="58" spans="3:6" ht="12.75">
      <c r="C58" s="4" t="s">
        <v>94</v>
      </c>
      <c r="D58" s="5">
        <v>81309</v>
      </c>
      <c r="F58" s="5">
        <v>81309</v>
      </c>
    </row>
    <row r="59" spans="3:6" ht="12.75">
      <c r="C59" s="4" t="s">
        <v>95</v>
      </c>
      <c r="D59" s="5">
        <f>45424-6096</f>
        <v>39328</v>
      </c>
      <c r="F59" s="5">
        <v>39328</v>
      </c>
    </row>
    <row r="60" spans="3:6" ht="12.75">
      <c r="C60" s="4" t="s">
        <v>136</v>
      </c>
      <c r="D60" s="5">
        <v>-5713</v>
      </c>
      <c r="F60" s="5">
        <v>-4541</v>
      </c>
    </row>
    <row r="61" spans="3:6" ht="12.75">
      <c r="C61" s="4" t="s">
        <v>96</v>
      </c>
      <c r="D61" s="5">
        <v>109146</v>
      </c>
      <c r="F61" s="5">
        <v>84108</v>
      </c>
    </row>
    <row r="62" spans="3:6" ht="12.75">
      <c r="C62" s="4" t="s">
        <v>187</v>
      </c>
      <c r="D62" s="10">
        <v>6096</v>
      </c>
      <c r="F62" s="10">
        <f>6096</f>
        <v>6096</v>
      </c>
    </row>
    <row r="63" spans="4:6" ht="12.75">
      <c r="D63" s="5">
        <f>SUM(D56:D62)</f>
        <v>309295</v>
      </c>
      <c r="F63" s="5">
        <f>SUM(F56:F62)</f>
        <v>285429</v>
      </c>
    </row>
    <row r="64" spans="4:6" ht="12.75">
      <c r="D64" s="5"/>
      <c r="F64" s="5"/>
    </row>
    <row r="65" spans="1:6" ht="12.75">
      <c r="A65">
        <v>13</v>
      </c>
      <c r="B65" t="s">
        <v>97</v>
      </c>
      <c r="D65" s="5">
        <v>129083</v>
      </c>
      <c r="F65" s="5">
        <v>113205</v>
      </c>
    </row>
    <row r="66" spans="4:6" ht="6" customHeight="1">
      <c r="D66" s="5"/>
      <c r="F66" s="5"/>
    </row>
    <row r="67" spans="1:6" ht="12.75">
      <c r="A67">
        <v>14</v>
      </c>
      <c r="B67" t="s">
        <v>98</v>
      </c>
      <c r="D67" s="5">
        <v>149662</v>
      </c>
      <c r="F67" s="5">
        <v>195159</v>
      </c>
    </row>
    <row r="68" spans="4:6" ht="6" customHeight="1">
      <c r="D68" s="5"/>
      <c r="F68" s="5"/>
    </row>
    <row r="69" spans="1:6" ht="12.75">
      <c r="A69">
        <v>15</v>
      </c>
      <c r="B69" t="s">
        <v>99</v>
      </c>
      <c r="D69" s="5">
        <f>3051+75837-1</f>
        <v>78887</v>
      </c>
      <c r="F69" s="5">
        <f>3068+56685</f>
        <v>59753</v>
      </c>
    </row>
    <row r="70" ht="12.75">
      <c r="D70" s="5"/>
    </row>
    <row r="71" spans="4:6" ht="21.75" customHeight="1" thickBot="1">
      <c r="D71" s="12">
        <f>SUM(D63:D70)</f>
        <v>666927</v>
      </c>
      <c r="F71" s="12">
        <f>SUM(F63:F70)</f>
        <v>653546</v>
      </c>
    </row>
    <row r="72" ht="13.5" thickTop="1"/>
    <row r="73" spans="1:6" ht="12.75">
      <c r="A73">
        <v>16</v>
      </c>
      <c r="B73" t="s">
        <v>100</v>
      </c>
      <c r="D73" s="114">
        <f>(D63-D20-D24-D26-D28)/D56*100</f>
        <v>-11.406690341088602</v>
      </c>
      <c r="F73" s="115">
        <f>(F63-F20-F24-F26-F28)/F56*100</f>
        <v>-38.20091243412656</v>
      </c>
    </row>
    <row r="76" ht="12.75">
      <c r="D76" s="116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27"/>
  <sheetViews>
    <sheetView workbookViewId="0" topLeftCell="A112">
      <selection activeCell="B163" sqref="B163"/>
    </sheetView>
  </sheetViews>
  <sheetFormatPr defaultColWidth="9.140625" defaultRowHeight="12.75"/>
  <cols>
    <col min="1" max="1" width="3.57421875" style="0" customWidth="1"/>
    <col min="2" max="2" width="45.421875" style="0" customWidth="1"/>
    <col min="3" max="3" width="13.00390625" style="0" customWidth="1"/>
    <col min="4" max="4" width="12.28125" style="0" customWidth="1"/>
    <col min="5" max="5" width="13.57421875" style="0" customWidth="1"/>
  </cols>
  <sheetData>
    <row r="1" ht="3.75" customHeight="1"/>
    <row r="2" spans="1:5" ht="15.75">
      <c r="A2" s="201" t="s">
        <v>0</v>
      </c>
      <c r="B2" s="202"/>
      <c r="C2" s="202"/>
      <c r="D2" s="202"/>
      <c r="E2" s="203"/>
    </row>
    <row r="3" spans="1:5" ht="12.75">
      <c r="A3" s="204" t="s">
        <v>141</v>
      </c>
      <c r="B3" s="205"/>
      <c r="C3" s="205"/>
      <c r="D3" s="205"/>
      <c r="E3" s="206"/>
    </row>
    <row r="4" spans="1:5" ht="12.75">
      <c r="A4" s="200"/>
      <c r="B4" s="200"/>
      <c r="C4" s="200"/>
      <c r="D4" s="200"/>
      <c r="E4" s="200"/>
    </row>
    <row r="5" spans="1:5" s="50" customFormat="1" ht="12.75">
      <c r="A5" s="199" t="s">
        <v>142</v>
      </c>
      <c r="B5" s="199"/>
      <c r="C5" s="199"/>
      <c r="D5" s="199"/>
      <c r="E5" s="199"/>
    </row>
    <row r="6" spans="1:5" s="50" customFormat="1" ht="12.75">
      <c r="A6" s="207" t="s">
        <v>291</v>
      </c>
      <c r="B6" s="207"/>
      <c r="C6" s="207"/>
      <c r="D6" s="207"/>
      <c r="E6" s="207"/>
    </row>
    <row r="7" spans="1:5" s="50" customFormat="1" ht="12.75">
      <c r="A7" s="208"/>
      <c r="B7" s="200"/>
      <c r="C7" s="200"/>
      <c r="D7" s="200"/>
      <c r="E7" s="200"/>
    </row>
    <row r="8" spans="1:5" s="78" customFormat="1" ht="12.75">
      <c r="A8" s="82">
        <v>1</v>
      </c>
      <c r="B8" s="73" t="s">
        <v>143</v>
      </c>
      <c r="C8" s="73"/>
      <c r="D8" s="79"/>
      <c r="E8" s="79"/>
    </row>
    <row r="9" spans="1:5" s="78" customFormat="1" ht="6" customHeight="1">
      <c r="A9" s="81"/>
      <c r="D9" s="79"/>
      <c r="E9" s="79"/>
    </row>
    <row r="10" spans="1:5" s="78" customFormat="1" ht="12.75">
      <c r="A10" s="81"/>
      <c r="B10" s="78" t="s">
        <v>144</v>
      </c>
      <c r="D10" s="79"/>
      <c r="E10" s="79"/>
    </row>
    <row r="11" spans="1:5" s="78" customFormat="1" ht="12.75">
      <c r="A11" s="81"/>
      <c r="B11" s="78" t="s">
        <v>145</v>
      </c>
      <c r="D11" s="79"/>
      <c r="E11" s="79"/>
    </row>
    <row r="12" spans="1:5" s="78" customFormat="1" ht="12.75">
      <c r="A12" s="81"/>
      <c r="B12" s="78" t="s">
        <v>146</v>
      </c>
      <c r="D12" s="79"/>
      <c r="E12" s="79"/>
    </row>
    <row r="13" spans="1:5" s="78" customFormat="1" ht="12.75">
      <c r="A13" s="82"/>
      <c r="B13" s="73"/>
      <c r="C13" s="73"/>
      <c r="D13" s="79"/>
      <c r="E13" s="79"/>
    </row>
    <row r="14" spans="1:5" s="78" customFormat="1" ht="12.75">
      <c r="A14" s="82">
        <v>2</v>
      </c>
      <c r="B14" s="73" t="s">
        <v>147</v>
      </c>
      <c r="C14" s="73"/>
      <c r="D14" s="79"/>
      <c r="E14" s="79"/>
    </row>
    <row r="15" spans="1:5" s="78" customFormat="1" ht="6" customHeight="1">
      <c r="A15" s="81"/>
      <c r="B15" s="73"/>
      <c r="C15" s="73"/>
      <c r="D15" s="79"/>
      <c r="E15" s="79"/>
    </row>
    <row r="16" spans="1:5" s="78" customFormat="1" ht="12.75">
      <c r="A16" s="81"/>
      <c r="B16" s="78" t="s">
        <v>306</v>
      </c>
      <c r="D16" s="79"/>
      <c r="E16" s="79"/>
    </row>
    <row r="17" spans="1:5" s="78" customFormat="1" ht="12.75">
      <c r="A17" s="81"/>
      <c r="B17" s="78" t="s">
        <v>305</v>
      </c>
      <c r="D17" s="79"/>
      <c r="E17" s="79"/>
    </row>
    <row r="18" spans="1:5" s="78" customFormat="1" ht="12.75">
      <c r="A18" s="81"/>
      <c r="D18" s="79"/>
      <c r="E18" s="79"/>
    </row>
    <row r="19" spans="1:5" s="78" customFormat="1" ht="12.75">
      <c r="A19" s="82">
        <v>3</v>
      </c>
      <c r="B19" s="73" t="s">
        <v>148</v>
      </c>
      <c r="C19" s="73"/>
      <c r="D19" s="79"/>
      <c r="E19" s="79"/>
    </row>
    <row r="20" spans="1:5" s="78" customFormat="1" ht="6" customHeight="1">
      <c r="A20" s="81"/>
      <c r="D20" s="79"/>
      <c r="E20" s="79"/>
    </row>
    <row r="21" spans="1:5" s="78" customFormat="1" ht="12.75">
      <c r="A21" s="81"/>
      <c r="B21" s="78" t="s">
        <v>278</v>
      </c>
      <c r="D21" s="79"/>
      <c r="E21" s="79"/>
    </row>
    <row r="22" spans="1:5" s="78" customFormat="1" ht="12.75">
      <c r="A22" s="81"/>
      <c r="D22" s="79"/>
      <c r="E22" s="79"/>
    </row>
    <row r="23" spans="1:5" s="73" customFormat="1" ht="12.75">
      <c r="A23" s="82">
        <v>4</v>
      </c>
      <c r="B23" s="73" t="s">
        <v>14</v>
      </c>
      <c r="D23" s="80"/>
      <c r="E23" s="80"/>
    </row>
    <row r="24" spans="1:5" s="78" customFormat="1" ht="6" customHeight="1">
      <c r="A24" s="81"/>
      <c r="D24" s="79"/>
      <c r="E24" s="79"/>
    </row>
    <row r="25" spans="1:5" s="78" customFormat="1" ht="12.75">
      <c r="A25" s="81"/>
      <c r="B25" s="78" t="s">
        <v>293</v>
      </c>
      <c r="D25" s="79"/>
      <c r="E25" s="79"/>
    </row>
    <row r="26" spans="1:5" s="78" customFormat="1" ht="12.75">
      <c r="A26" s="81"/>
      <c r="B26" s="78" t="s">
        <v>292</v>
      </c>
      <c r="D26" s="79"/>
      <c r="E26" s="79"/>
    </row>
    <row r="27" spans="1:5" s="78" customFormat="1" ht="12.75">
      <c r="A27" s="81"/>
      <c r="D27" s="79"/>
      <c r="E27" s="79"/>
    </row>
    <row r="28" spans="1:5" s="78" customFormat="1" ht="12.75">
      <c r="A28" s="82">
        <v>5</v>
      </c>
      <c r="B28" s="73" t="s">
        <v>149</v>
      </c>
      <c r="C28" s="73"/>
      <c r="D28" s="79"/>
      <c r="E28" s="79"/>
    </row>
    <row r="29" spans="1:5" s="78" customFormat="1" ht="6" customHeight="1">
      <c r="A29" s="82"/>
      <c r="D29" s="79"/>
      <c r="E29" s="79"/>
    </row>
    <row r="30" spans="1:5" s="78" customFormat="1" ht="12.75">
      <c r="A30" s="82"/>
      <c r="B30" s="78" t="s">
        <v>279</v>
      </c>
      <c r="D30" s="79"/>
      <c r="E30" s="79"/>
    </row>
    <row r="31" spans="1:5" s="78" customFormat="1" ht="12.75">
      <c r="A31" s="82"/>
      <c r="D31" s="79"/>
      <c r="E31" s="79"/>
    </row>
    <row r="32" spans="1:5" s="78" customFormat="1" ht="12.75">
      <c r="A32" s="82">
        <v>6</v>
      </c>
      <c r="B32" s="73" t="s">
        <v>150</v>
      </c>
      <c r="C32" s="73"/>
      <c r="D32" s="79"/>
      <c r="E32" s="79"/>
    </row>
    <row r="33" ht="6" customHeight="1"/>
    <row r="34" ht="12.75">
      <c r="B34" t="s">
        <v>188</v>
      </c>
    </row>
    <row r="35" spans="2:5" ht="12.75">
      <c r="B35" t="s">
        <v>280</v>
      </c>
      <c r="D35" s="77"/>
      <c r="E35" s="77"/>
    </row>
    <row r="36" spans="1:5" ht="12.75">
      <c r="A36" s="50"/>
      <c r="B36" s="74"/>
      <c r="C36" s="74"/>
      <c r="D36" s="75"/>
      <c r="E36" s="75"/>
    </row>
    <row r="37" spans="1:5" ht="12.75">
      <c r="A37" s="82">
        <v>7</v>
      </c>
      <c r="B37" s="73" t="s">
        <v>151</v>
      </c>
      <c r="C37" s="73"/>
      <c r="D37" s="79"/>
      <c r="E37" s="75"/>
    </row>
    <row r="38" spans="1:5" ht="6" customHeight="1">
      <c r="A38" s="81"/>
      <c r="B38" s="73"/>
      <c r="C38" s="73"/>
      <c r="D38" s="79"/>
      <c r="E38" s="75"/>
    </row>
    <row r="39" spans="1:5" ht="12.75">
      <c r="A39" s="81"/>
      <c r="B39" s="78" t="s">
        <v>189</v>
      </c>
      <c r="C39" s="78"/>
      <c r="D39" s="79"/>
      <c r="E39" s="75"/>
    </row>
    <row r="40" spans="1:5" ht="12.75">
      <c r="A40" s="81"/>
      <c r="B40" t="s">
        <v>281</v>
      </c>
      <c r="C40" s="78"/>
      <c r="D40" s="79"/>
      <c r="E40" s="75"/>
    </row>
    <row r="41" spans="1:5" ht="12.75">
      <c r="A41" s="81"/>
      <c r="B41" s="78"/>
      <c r="C41" s="78"/>
      <c r="D41" s="79"/>
      <c r="E41" s="75"/>
    </row>
    <row r="42" spans="1:5" ht="12.75">
      <c r="A42" s="82">
        <v>8</v>
      </c>
      <c r="B42" s="73" t="s">
        <v>152</v>
      </c>
      <c r="C42" s="73"/>
      <c r="D42" s="79"/>
      <c r="E42" s="75"/>
    </row>
    <row r="43" spans="1:5" ht="6" customHeight="1">
      <c r="A43" s="81"/>
      <c r="B43" s="78"/>
      <c r="C43" s="78"/>
      <c r="D43" s="79"/>
      <c r="E43" s="75"/>
    </row>
    <row r="44" spans="1:5" ht="12.75">
      <c r="A44" s="81"/>
      <c r="B44" s="78" t="s">
        <v>282</v>
      </c>
      <c r="C44" s="78"/>
      <c r="D44" s="79"/>
      <c r="E44" s="75"/>
    </row>
    <row r="45" spans="1:5" ht="12.75">
      <c r="A45" s="82"/>
      <c r="B45" t="s">
        <v>281</v>
      </c>
      <c r="C45" s="78"/>
      <c r="D45" s="80"/>
      <c r="E45" s="76"/>
    </row>
    <row r="46" spans="1:5" ht="12.75" hidden="1">
      <c r="A46" s="82"/>
      <c r="C46" s="78"/>
      <c r="D46" s="80"/>
      <c r="E46" s="76"/>
    </row>
    <row r="47" spans="1:5" ht="12.75">
      <c r="A47" s="81"/>
      <c r="B47" s="78"/>
      <c r="C47" s="78"/>
      <c r="D47" s="79"/>
      <c r="E47" s="75"/>
    </row>
    <row r="48" spans="1:5" ht="12.75">
      <c r="A48" s="82">
        <v>9</v>
      </c>
      <c r="B48" s="73" t="s">
        <v>153</v>
      </c>
      <c r="C48" s="73"/>
      <c r="D48" s="79"/>
      <c r="E48" s="75"/>
    </row>
    <row r="49" spans="1:5" ht="6" customHeight="1">
      <c r="A49" s="81"/>
      <c r="B49" s="78"/>
      <c r="C49" s="78"/>
      <c r="D49" s="79"/>
      <c r="E49" s="75"/>
    </row>
    <row r="50" spans="1:5" ht="12.75">
      <c r="A50" s="50"/>
      <c r="B50" s="78" t="s">
        <v>295</v>
      </c>
      <c r="C50" s="78"/>
      <c r="D50" s="75"/>
      <c r="E50" s="75"/>
    </row>
    <row r="51" spans="1:5" ht="12.75">
      <c r="A51" s="50"/>
      <c r="B51" s="78" t="s">
        <v>304</v>
      </c>
      <c r="C51" s="78"/>
      <c r="D51" s="75"/>
      <c r="E51" s="75"/>
    </row>
    <row r="52" spans="1:5" ht="12.75">
      <c r="A52" s="50"/>
      <c r="B52" s="78" t="s">
        <v>303</v>
      </c>
      <c r="C52" s="78"/>
      <c r="D52" s="75"/>
      <c r="E52" s="75"/>
    </row>
    <row r="53" spans="1:5" ht="12.75">
      <c r="A53" s="50"/>
      <c r="B53" s="78"/>
      <c r="C53" s="78"/>
      <c r="D53" s="75"/>
      <c r="E53" s="75"/>
    </row>
    <row r="54" spans="1:5" ht="12.75">
      <c r="A54" s="50"/>
      <c r="B54" s="78"/>
      <c r="C54" s="78"/>
      <c r="D54" s="75"/>
      <c r="E54" s="75"/>
    </row>
    <row r="55" spans="1:5" ht="12.75">
      <c r="A55" s="50"/>
      <c r="B55" s="78"/>
      <c r="C55" s="78"/>
      <c r="D55" s="75"/>
      <c r="E55" s="75"/>
    </row>
    <row r="56" spans="1:5" ht="12.75">
      <c r="A56" s="50"/>
      <c r="B56" s="78"/>
      <c r="C56" s="78"/>
      <c r="D56" s="75"/>
      <c r="E56" s="75"/>
    </row>
    <row r="57" spans="1:5" ht="12.75">
      <c r="A57" s="50"/>
      <c r="B57" s="78"/>
      <c r="C57" s="78"/>
      <c r="D57" s="75"/>
      <c r="E57" s="75"/>
    </row>
    <row r="58" spans="1:5" ht="12.75">
      <c r="A58" s="50"/>
      <c r="B58" s="78"/>
      <c r="C58" s="78"/>
      <c r="D58" s="75"/>
      <c r="E58" s="75"/>
    </row>
    <row r="59" spans="1:5" ht="12.75">
      <c r="A59" s="50"/>
      <c r="B59" s="78"/>
      <c r="C59" s="78"/>
      <c r="D59" s="75"/>
      <c r="E59" s="75"/>
    </row>
    <row r="60" spans="1:5" ht="12.75">
      <c r="A60" s="199" t="s">
        <v>154</v>
      </c>
      <c r="B60" s="199"/>
      <c r="C60" s="199"/>
      <c r="D60" s="199"/>
      <c r="E60" s="199"/>
    </row>
    <row r="61" spans="1:5" ht="15.75">
      <c r="A61" s="201" t="s">
        <v>0</v>
      </c>
      <c r="B61" s="202"/>
      <c r="C61" s="202"/>
      <c r="D61" s="202"/>
      <c r="E61" s="203"/>
    </row>
    <row r="62" spans="1:5" ht="12.75">
      <c r="A62" s="204" t="s">
        <v>141</v>
      </c>
      <c r="B62" s="205"/>
      <c r="C62" s="205"/>
      <c r="D62" s="205"/>
      <c r="E62" s="206"/>
    </row>
    <row r="63" spans="1:5" ht="12.75">
      <c r="A63" s="50"/>
      <c r="B63" s="78"/>
      <c r="C63" s="78"/>
      <c r="D63" s="75"/>
      <c r="E63" s="75"/>
    </row>
    <row r="64" spans="1:5" ht="12.75">
      <c r="A64" s="82">
        <v>10</v>
      </c>
      <c r="B64" s="73" t="s">
        <v>155</v>
      </c>
      <c r="C64" s="73"/>
      <c r="D64" s="79"/>
      <c r="E64" s="79"/>
    </row>
    <row r="65" spans="1:5" ht="6.75" customHeight="1">
      <c r="A65" s="81"/>
      <c r="B65" s="78"/>
      <c r="C65" s="78"/>
      <c r="D65" s="79"/>
      <c r="E65" s="79"/>
    </row>
    <row r="66" spans="1:5" ht="12.75">
      <c r="A66" s="81"/>
      <c r="B66" s="78" t="s">
        <v>283</v>
      </c>
      <c r="C66" s="78"/>
      <c r="D66" s="79"/>
      <c r="E66" s="79"/>
    </row>
    <row r="67" spans="1:5" ht="12.75">
      <c r="A67" s="81"/>
      <c r="B67" s="78" t="s">
        <v>271</v>
      </c>
      <c r="C67" s="78"/>
      <c r="D67" s="79"/>
      <c r="E67" s="79"/>
    </row>
    <row r="68" spans="1:5" ht="12.75">
      <c r="A68" s="81"/>
      <c r="B68" s="78"/>
      <c r="C68" s="78"/>
      <c r="D68" s="79"/>
      <c r="E68" s="79"/>
    </row>
    <row r="69" spans="1:5" ht="18.75" customHeight="1">
      <c r="A69" s="82">
        <v>11</v>
      </c>
      <c r="B69" s="73" t="s">
        <v>156</v>
      </c>
      <c r="C69" s="73"/>
      <c r="D69" s="79"/>
      <c r="E69" s="79"/>
    </row>
    <row r="70" spans="1:5" ht="6.75" customHeight="1">
      <c r="A70" s="81"/>
      <c r="B70" s="78"/>
      <c r="C70" s="78"/>
      <c r="D70" s="79"/>
      <c r="E70" s="79"/>
    </row>
    <row r="71" spans="1:5" ht="12.75">
      <c r="A71" s="81"/>
      <c r="B71" s="78" t="s">
        <v>157</v>
      </c>
      <c r="C71" s="78"/>
      <c r="D71" s="79"/>
      <c r="E71" s="79"/>
    </row>
    <row r="72" spans="1:5" ht="12.75">
      <c r="A72" s="81"/>
      <c r="B72" s="78" t="s">
        <v>190</v>
      </c>
      <c r="C72" s="78"/>
      <c r="D72" s="79"/>
      <c r="E72" s="79"/>
    </row>
    <row r="73" spans="1:5" ht="12.75">
      <c r="A73" s="81"/>
      <c r="B73" s="78" t="s">
        <v>284</v>
      </c>
      <c r="C73" s="78"/>
      <c r="D73" s="78"/>
      <c r="E73" s="78"/>
    </row>
    <row r="74" spans="1:5" ht="12.75">
      <c r="A74" s="81"/>
      <c r="B74" s="78"/>
      <c r="C74" s="78"/>
      <c r="D74" s="78"/>
      <c r="E74" s="78"/>
    </row>
    <row r="75" spans="1:5" ht="12.75">
      <c r="A75" s="82">
        <v>12</v>
      </c>
      <c r="B75" s="73" t="s">
        <v>158</v>
      </c>
      <c r="C75" s="73"/>
      <c r="D75" s="78"/>
      <c r="E75" s="78"/>
    </row>
    <row r="76" spans="1:5" ht="6.75" customHeight="1">
      <c r="A76" s="78"/>
      <c r="B76" s="78"/>
      <c r="C76" s="78"/>
      <c r="D76" s="78"/>
      <c r="E76" s="78"/>
    </row>
    <row r="77" spans="1:5" ht="12.75">
      <c r="A77" s="78"/>
      <c r="B77" s="78" t="s">
        <v>285</v>
      </c>
      <c r="C77" s="78"/>
      <c r="D77" s="78"/>
      <c r="E77" s="78"/>
    </row>
    <row r="78" spans="1:5" ht="12.75">
      <c r="A78" s="78"/>
      <c r="B78" s="83"/>
      <c r="C78" s="84"/>
      <c r="D78" s="84"/>
      <c r="E78" s="93" t="s">
        <v>159</v>
      </c>
    </row>
    <row r="79" spans="1:5" ht="12.75">
      <c r="A79" s="78"/>
      <c r="B79" s="95" t="s">
        <v>164</v>
      </c>
      <c r="C79" s="96"/>
      <c r="D79" s="86"/>
      <c r="E79" s="87"/>
    </row>
    <row r="80" spans="1:5" ht="12.75">
      <c r="A80" s="78"/>
      <c r="B80" s="85" t="s">
        <v>160</v>
      </c>
      <c r="C80" s="86"/>
      <c r="D80" s="86"/>
      <c r="E80" s="88">
        <v>149662</v>
      </c>
    </row>
    <row r="81" spans="1:5" ht="12.75">
      <c r="A81" s="78"/>
      <c r="B81" s="85" t="s">
        <v>161</v>
      </c>
      <c r="C81" s="86"/>
      <c r="D81" s="86"/>
      <c r="E81" s="88">
        <v>0</v>
      </c>
    </row>
    <row r="82" spans="1:5" ht="6" customHeight="1">
      <c r="A82" s="78"/>
      <c r="B82" s="85"/>
      <c r="C82" s="86"/>
      <c r="D82" s="86"/>
      <c r="E82" s="88"/>
    </row>
    <row r="83" spans="1:5" ht="12.75">
      <c r="A83" s="78"/>
      <c r="B83" s="85" t="s">
        <v>162</v>
      </c>
      <c r="C83" s="86"/>
      <c r="D83" s="86"/>
      <c r="E83" s="94">
        <f>SUM(E80:E82)</f>
        <v>149662</v>
      </c>
    </row>
    <row r="84" spans="1:5" ht="12.75">
      <c r="A84" s="78"/>
      <c r="B84" s="85"/>
      <c r="C84" s="86"/>
      <c r="D84" s="86"/>
      <c r="E84" s="88"/>
    </row>
    <row r="85" spans="1:5" ht="12.75">
      <c r="A85" s="78"/>
      <c r="B85" s="95" t="s">
        <v>163</v>
      </c>
      <c r="C85" s="96"/>
      <c r="D85" s="86"/>
      <c r="E85" s="88"/>
    </row>
    <row r="86" spans="1:5" ht="12.75">
      <c r="A86" s="78"/>
      <c r="B86" s="85" t="s">
        <v>160</v>
      </c>
      <c r="C86" s="86"/>
      <c r="D86" s="86"/>
      <c r="E86" s="88">
        <v>600973</v>
      </c>
    </row>
    <row r="87" spans="1:5" ht="12.75">
      <c r="A87" s="78"/>
      <c r="B87" s="85" t="s">
        <v>161</v>
      </c>
      <c r="C87" s="86"/>
      <c r="D87" s="86"/>
      <c r="E87" s="88">
        <v>59259</v>
      </c>
    </row>
    <row r="88" spans="1:5" ht="7.5" customHeight="1">
      <c r="A88" s="78"/>
      <c r="B88" s="85"/>
      <c r="C88" s="86"/>
      <c r="D88" s="86"/>
      <c r="E88" s="88"/>
    </row>
    <row r="89" spans="1:5" ht="13.5" thickBot="1">
      <c r="A89" s="78"/>
      <c r="B89" s="85" t="s">
        <v>162</v>
      </c>
      <c r="C89" s="86"/>
      <c r="D89" s="86"/>
      <c r="E89" s="94">
        <f>SUM(E86:E88)</f>
        <v>660232</v>
      </c>
    </row>
    <row r="90" spans="1:5" ht="21" customHeight="1" thickBot="1">
      <c r="A90" s="78"/>
      <c r="B90" s="89" t="s">
        <v>9</v>
      </c>
      <c r="C90" s="90"/>
      <c r="D90" s="90"/>
      <c r="E90" s="91">
        <f>E83+E89</f>
        <v>809894</v>
      </c>
    </row>
    <row r="91" spans="1:5" ht="12.75">
      <c r="A91" s="78"/>
      <c r="B91" s="78"/>
      <c r="C91" s="78"/>
      <c r="D91" s="78"/>
      <c r="E91" s="78"/>
    </row>
    <row r="92" spans="1:5" ht="12.75">
      <c r="A92" s="82">
        <v>13</v>
      </c>
      <c r="B92" s="73" t="s">
        <v>165</v>
      </c>
      <c r="C92" s="78"/>
      <c r="D92" s="78"/>
      <c r="E92" s="92"/>
    </row>
    <row r="93" spans="1:5" ht="6.75" customHeight="1">
      <c r="A93" s="81"/>
      <c r="B93" s="78"/>
      <c r="C93" s="78"/>
      <c r="D93" s="78"/>
      <c r="E93" s="78"/>
    </row>
    <row r="94" spans="1:5" ht="12.75">
      <c r="A94" s="81"/>
      <c r="B94" s="78" t="s">
        <v>191</v>
      </c>
      <c r="C94" s="78"/>
      <c r="D94" s="78"/>
      <c r="E94" s="78"/>
    </row>
    <row r="95" spans="1:5" ht="12.75">
      <c r="A95" s="81"/>
      <c r="B95" s="78"/>
      <c r="C95" s="78"/>
      <c r="D95" s="78"/>
      <c r="E95" s="111" t="s">
        <v>159</v>
      </c>
    </row>
    <row r="96" spans="1:5" ht="12.75">
      <c r="A96" s="81"/>
      <c r="B96" s="78" t="s">
        <v>192</v>
      </c>
      <c r="C96" s="78"/>
      <c r="D96" s="78"/>
      <c r="E96" s="52">
        <v>7600</v>
      </c>
    </row>
    <row r="97" spans="1:5" ht="12.75">
      <c r="A97" s="81"/>
      <c r="B97" s="78" t="s">
        <v>193</v>
      </c>
      <c r="C97" s="78"/>
      <c r="D97" s="78"/>
      <c r="E97" s="52"/>
    </row>
    <row r="98" spans="1:5" ht="12.75">
      <c r="A98" s="81"/>
      <c r="B98" s="78" t="s">
        <v>194</v>
      </c>
      <c r="C98" s="78"/>
      <c r="D98" s="78"/>
      <c r="E98" s="52">
        <v>10000</v>
      </c>
    </row>
    <row r="99" spans="1:5" ht="12.75">
      <c r="A99" s="81"/>
      <c r="B99" s="78" t="s">
        <v>195</v>
      </c>
      <c r="C99" s="78"/>
      <c r="D99" s="78"/>
      <c r="E99" s="52"/>
    </row>
    <row r="100" spans="1:5" ht="12.75">
      <c r="A100" s="81"/>
      <c r="B100" s="78" t="s">
        <v>196</v>
      </c>
      <c r="C100" s="78"/>
      <c r="D100" s="78"/>
      <c r="E100" s="117">
        <v>7600</v>
      </c>
    </row>
    <row r="101" spans="1:5" ht="4.5" customHeight="1">
      <c r="A101" s="81"/>
      <c r="B101" s="78"/>
      <c r="C101" s="78"/>
      <c r="D101" s="78"/>
      <c r="E101" s="52"/>
    </row>
    <row r="102" spans="1:5" ht="13.5" thickBot="1">
      <c r="A102" s="81"/>
      <c r="B102" s="78"/>
      <c r="C102" s="78"/>
      <c r="D102" s="78"/>
      <c r="E102" s="118">
        <f>SUM(E96:E101)</f>
        <v>25200</v>
      </c>
    </row>
    <row r="103" spans="1:5" ht="12.75">
      <c r="A103" s="81"/>
      <c r="B103" s="78"/>
      <c r="C103" s="78"/>
      <c r="D103" s="78"/>
      <c r="E103" s="78"/>
    </row>
    <row r="104" spans="1:5" ht="12.75">
      <c r="A104" s="82">
        <v>14</v>
      </c>
      <c r="B104" s="73" t="s">
        <v>166</v>
      </c>
      <c r="C104" s="78"/>
      <c r="D104" s="78"/>
      <c r="E104" s="78"/>
    </row>
    <row r="105" spans="1:5" ht="6.75" customHeight="1">
      <c r="A105" s="81"/>
      <c r="B105" s="78"/>
      <c r="C105" s="78"/>
      <c r="D105" s="78"/>
      <c r="E105" s="78"/>
    </row>
    <row r="106" spans="1:5" ht="12.75">
      <c r="A106" s="81"/>
      <c r="B106" s="78" t="s">
        <v>167</v>
      </c>
      <c r="C106" s="78"/>
      <c r="D106" s="78"/>
      <c r="E106" s="78"/>
    </row>
    <row r="107" spans="1:5" ht="12.75">
      <c r="A107" s="81"/>
      <c r="B107" s="78" t="s">
        <v>286</v>
      </c>
      <c r="C107" s="78"/>
      <c r="D107" s="78"/>
      <c r="E107" s="78"/>
    </row>
    <row r="108" spans="1:5" ht="12.75">
      <c r="A108" s="81"/>
      <c r="B108" s="78"/>
      <c r="C108" s="78"/>
      <c r="D108" s="78"/>
      <c r="E108" s="78"/>
    </row>
    <row r="109" spans="1:5" ht="12.75">
      <c r="A109" s="81"/>
      <c r="B109" s="78"/>
      <c r="C109" s="78"/>
      <c r="D109" s="78"/>
      <c r="E109" s="78"/>
    </row>
    <row r="110" spans="1:5" ht="12.75">
      <c r="A110" s="81"/>
      <c r="B110" s="78"/>
      <c r="C110" s="78"/>
      <c r="D110" s="78"/>
      <c r="E110" s="78"/>
    </row>
    <row r="111" spans="1:5" ht="12.75">
      <c r="A111" s="81"/>
      <c r="B111" s="78"/>
      <c r="C111" s="78"/>
      <c r="D111" s="78"/>
      <c r="E111" s="78"/>
    </row>
    <row r="112" spans="1:5" ht="12.75">
      <c r="A112" s="81"/>
      <c r="B112" s="78"/>
      <c r="C112" s="78"/>
      <c r="D112" s="78"/>
      <c r="E112" s="78"/>
    </row>
    <row r="113" spans="1:5" ht="12.75">
      <c r="A113" s="81"/>
      <c r="B113" s="78"/>
      <c r="C113" s="78"/>
      <c r="D113" s="78"/>
      <c r="E113" s="78"/>
    </row>
    <row r="114" spans="1:5" ht="12.75">
      <c r="A114" s="81"/>
      <c r="B114" s="78"/>
      <c r="C114" s="78"/>
      <c r="D114" s="78"/>
      <c r="E114" s="78"/>
    </row>
    <row r="115" spans="1:5" ht="12.75">
      <c r="A115" s="81"/>
      <c r="B115" s="78"/>
      <c r="C115" s="78"/>
      <c r="D115" s="78"/>
      <c r="E115" s="78"/>
    </row>
    <row r="116" spans="1:5" ht="12.75">
      <c r="A116" s="199" t="s">
        <v>173</v>
      </c>
      <c r="B116" s="199"/>
      <c r="C116" s="199"/>
      <c r="D116" s="199"/>
      <c r="E116" s="199"/>
    </row>
    <row r="117" spans="1:5" ht="15.75">
      <c r="A117" s="201" t="s">
        <v>0</v>
      </c>
      <c r="B117" s="202"/>
      <c r="C117" s="202"/>
      <c r="D117" s="202"/>
      <c r="E117" s="203"/>
    </row>
    <row r="118" spans="1:5" ht="12.75">
      <c r="A118" s="204" t="s">
        <v>141</v>
      </c>
      <c r="B118" s="205"/>
      <c r="C118" s="205"/>
      <c r="D118" s="205"/>
      <c r="E118" s="206"/>
    </row>
    <row r="119" spans="1:5" ht="12.75">
      <c r="A119" s="81"/>
      <c r="B119" s="78"/>
      <c r="C119" s="78"/>
      <c r="D119" s="78"/>
      <c r="E119" s="78"/>
    </row>
    <row r="120" spans="1:5" ht="12.75">
      <c r="A120" s="81"/>
      <c r="B120" s="78"/>
      <c r="C120" s="78"/>
      <c r="D120" s="78"/>
      <c r="E120" s="78"/>
    </row>
    <row r="121" spans="1:5" ht="12.75">
      <c r="A121" s="82">
        <v>15</v>
      </c>
      <c r="B121" s="73" t="s">
        <v>168</v>
      </c>
      <c r="C121" s="78"/>
      <c r="D121" s="78"/>
      <c r="E121" s="78"/>
    </row>
    <row r="122" spans="1:5" ht="6.75" customHeight="1">
      <c r="A122" s="81"/>
      <c r="B122" s="78"/>
      <c r="C122" s="78"/>
      <c r="D122" s="78"/>
      <c r="E122" s="78"/>
    </row>
    <row r="123" spans="1:5" ht="12.75">
      <c r="A123" s="81"/>
      <c r="B123" s="78" t="s">
        <v>169</v>
      </c>
      <c r="C123" s="78"/>
      <c r="D123" s="78"/>
      <c r="E123" s="78"/>
    </row>
    <row r="124" spans="1:5" ht="12.75">
      <c r="A124" s="81"/>
      <c r="B124" s="78"/>
      <c r="C124" s="78"/>
      <c r="D124" s="78"/>
      <c r="E124" s="78"/>
    </row>
    <row r="125" spans="1:2" ht="12.75">
      <c r="A125" s="82">
        <v>16</v>
      </c>
      <c r="B125" s="73" t="s">
        <v>170</v>
      </c>
    </row>
    <row r="126" spans="1:2" ht="6.75" customHeight="1">
      <c r="A126" s="82"/>
      <c r="B126" s="73"/>
    </row>
    <row r="127" spans="1:2" ht="13.5" customHeight="1">
      <c r="A127" s="82"/>
      <c r="B127" s="73" t="s">
        <v>206</v>
      </c>
    </row>
    <row r="128" spans="2:5" ht="12.75">
      <c r="B128" s="64"/>
      <c r="C128" s="97" t="s">
        <v>16</v>
      </c>
      <c r="D128" s="93" t="s">
        <v>197</v>
      </c>
      <c r="E128" s="98" t="s">
        <v>171</v>
      </c>
    </row>
    <row r="129" spans="2:5" ht="12.75">
      <c r="B129" s="65"/>
      <c r="C129" s="102"/>
      <c r="D129" s="104" t="s">
        <v>198</v>
      </c>
      <c r="E129" s="103" t="s">
        <v>172</v>
      </c>
    </row>
    <row r="130" spans="2:5" ht="12.75">
      <c r="B130" s="65"/>
      <c r="C130" s="102"/>
      <c r="D130" s="104" t="s">
        <v>14</v>
      </c>
      <c r="E130" s="103"/>
    </row>
    <row r="131" spans="2:5" ht="12.75">
      <c r="B131" s="66"/>
      <c r="C131" s="99" t="s">
        <v>159</v>
      </c>
      <c r="D131" s="101" t="s">
        <v>159</v>
      </c>
      <c r="E131" s="100" t="s">
        <v>159</v>
      </c>
    </row>
    <row r="132" spans="2:5" ht="18.75" customHeight="1">
      <c r="B132" s="105" t="s">
        <v>138</v>
      </c>
      <c r="C132" s="113">
        <v>3071</v>
      </c>
      <c r="D132" s="119">
        <v>-500</v>
      </c>
      <c r="E132" s="113">
        <v>18820</v>
      </c>
    </row>
    <row r="133" spans="2:5" ht="12.75">
      <c r="B133" s="106" t="s">
        <v>139</v>
      </c>
      <c r="C133" s="7">
        <v>1363</v>
      </c>
      <c r="D133" s="120">
        <v>-34</v>
      </c>
      <c r="E133" s="7">
        <f>6867-1</f>
        <v>6866</v>
      </c>
    </row>
    <row r="134" spans="2:5" ht="12.75">
      <c r="B134" s="106" t="s">
        <v>307</v>
      </c>
      <c r="C134" s="7">
        <v>199007</v>
      </c>
      <c r="D134" s="120">
        <v>73025</v>
      </c>
      <c r="E134" s="7">
        <v>2101538</v>
      </c>
    </row>
    <row r="135" spans="2:5" ht="12.75">
      <c r="B135" s="106" t="s">
        <v>140</v>
      </c>
      <c r="C135" s="7">
        <v>20370</v>
      </c>
      <c r="D135" s="120">
        <v>-7840</v>
      </c>
      <c r="E135" s="7">
        <v>530137</v>
      </c>
    </row>
    <row r="136" spans="2:5" ht="12.75">
      <c r="B136" s="106" t="s">
        <v>269</v>
      </c>
      <c r="C136" s="7">
        <v>0</v>
      </c>
      <c r="D136" s="120">
        <v>-4083</v>
      </c>
      <c r="E136" s="7">
        <v>249562</v>
      </c>
    </row>
    <row r="137" spans="2:5" ht="12.75">
      <c r="B137" s="106" t="s">
        <v>125</v>
      </c>
      <c r="C137" s="7">
        <v>1498</v>
      </c>
      <c r="D137" s="120">
        <v>-124</v>
      </c>
      <c r="E137" s="7">
        <v>133306</v>
      </c>
    </row>
    <row r="138" spans="2:5" ht="12.75">
      <c r="B138" s="106" t="s">
        <v>88</v>
      </c>
      <c r="C138" s="7">
        <v>0</v>
      </c>
      <c r="D138" s="120">
        <v>-133</v>
      </c>
      <c r="E138" s="7">
        <v>1072</v>
      </c>
    </row>
    <row r="139" spans="2:5" s="73" customFormat="1" ht="21.75" customHeight="1">
      <c r="B139" s="107" t="s">
        <v>9</v>
      </c>
      <c r="C139" s="108">
        <f>SUM(C132:C138)</f>
        <v>225309</v>
      </c>
      <c r="D139" s="70">
        <f>SUM(D132:D138)</f>
        <v>60311</v>
      </c>
      <c r="E139" s="108">
        <f>SUM(E132:E138)</f>
        <v>3041301</v>
      </c>
    </row>
    <row r="140" ht="6.75" customHeight="1"/>
    <row r="141" ht="12.75">
      <c r="B141" s="73" t="s">
        <v>207</v>
      </c>
    </row>
    <row r="142" spans="2:5" ht="12.75">
      <c r="B142" s="64"/>
      <c r="C142" s="97" t="s">
        <v>16</v>
      </c>
      <c r="D142" s="93" t="s">
        <v>197</v>
      </c>
      <c r="E142" s="98" t="s">
        <v>171</v>
      </c>
    </row>
    <row r="143" spans="2:5" ht="12.75">
      <c r="B143" s="65"/>
      <c r="C143" s="102"/>
      <c r="D143" s="104" t="s">
        <v>198</v>
      </c>
      <c r="E143" s="103" t="s">
        <v>172</v>
      </c>
    </row>
    <row r="144" spans="2:5" ht="12.75">
      <c r="B144" s="65"/>
      <c r="C144" s="102"/>
      <c r="D144" s="104" t="s">
        <v>14</v>
      </c>
      <c r="E144" s="103"/>
    </row>
    <row r="145" spans="2:5" ht="12.75">
      <c r="B145" s="66"/>
      <c r="C145" s="99" t="s">
        <v>159</v>
      </c>
      <c r="D145" s="101" t="s">
        <v>159</v>
      </c>
      <c r="E145" s="100" t="s">
        <v>159</v>
      </c>
    </row>
    <row r="146" spans="2:5" ht="12.75">
      <c r="B146" s="105" t="s">
        <v>208</v>
      </c>
      <c r="C146" s="113">
        <v>216617</v>
      </c>
      <c r="D146" s="119">
        <v>60018</v>
      </c>
      <c r="E146" s="113">
        <v>3017022</v>
      </c>
    </row>
    <row r="147" spans="2:5" ht="12.75">
      <c r="B147" s="106" t="s">
        <v>209</v>
      </c>
      <c r="C147" s="7">
        <v>7722</v>
      </c>
      <c r="D147" s="120">
        <v>932</v>
      </c>
      <c r="E147" s="7">
        <v>14779</v>
      </c>
    </row>
    <row r="148" spans="2:5" ht="12.75">
      <c r="B148" s="106" t="s">
        <v>210</v>
      </c>
      <c r="C148" s="7">
        <v>970</v>
      </c>
      <c r="D148" s="120">
        <f>-639</f>
        <v>-639</v>
      </c>
      <c r="E148" s="7">
        <f>9501-1</f>
        <v>9500</v>
      </c>
    </row>
    <row r="149" spans="2:5" ht="21.75" customHeight="1">
      <c r="B149" s="107" t="s">
        <v>9</v>
      </c>
      <c r="C149" s="108">
        <f>SUM(C143:C148)</f>
        <v>225309</v>
      </c>
      <c r="D149" s="70">
        <f>SUM(D143:D148)</f>
        <v>60311</v>
      </c>
      <c r="E149" s="108">
        <f>SUM(E143:E148)</f>
        <v>3041301</v>
      </c>
    </row>
    <row r="151" spans="1:2" ht="19.5" customHeight="1">
      <c r="A151" s="82">
        <v>17</v>
      </c>
      <c r="B151" s="73" t="s">
        <v>262</v>
      </c>
    </row>
    <row r="152" ht="6" customHeight="1">
      <c r="A152" s="82"/>
    </row>
    <row r="153" spans="1:2" ht="12.75">
      <c r="A153" s="82"/>
      <c r="B153" t="s">
        <v>289</v>
      </c>
    </row>
    <row r="154" spans="1:2" ht="12.75">
      <c r="A154" s="82"/>
      <c r="B154" t="s">
        <v>308</v>
      </c>
    </row>
    <row r="155" spans="1:2" ht="12.75">
      <c r="A155" s="82"/>
      <c r="B155" t="s">
        <v>310</v>
      </c>
    </row>
    <row r="156" spans="1:2" ht="12.75">
      <c r="A156" s="82"/>
      <c r="B156" t="s">
        <v>309</v>
      </c>
    </row>
    <row r="157" ht="12.75">
      <c r="A157" s="82"/>
    </row>
    <row r="158" ht="12.75">
      <c r="A158" s="82"/>
    </row>
    <row r="159" spans="1:2" ht="12.75">
      <c r="A159" s="82">
        <v>18</v>
      </c>
      <c r="B159" s="73" t="s">
        <v>174</v>
      </c>
    </row>
    <row r="160" ht="6" customHeight="1">
      <c r="A160" s="82"/>
    </row>
    <row r="161" spans="1:2" ht="12.75">
      <c r="A161" s="82"/>
      <c r="B161" t="s">
        <v>290</v>
      </c>
    </row>
    <row r="162" spans="1:2" ht="12.75">
      <c r="A162" s="82"/>
      <c r="B162" t="s">
        <v>313</v>
      </c>
    </row>
    <row r="163" spans="1:2" ht="12.75">
      <c r="A163" s="82"/>
      <c r="B163" t="s">
        <v>272</v>
      </c>
    </row>
    <row r="164" ht="12.75">
      <c r="A164" s="82"/>
    </row>
    <row r="165" ht="12.75">
      <c r="A165" s="82"/>
    </row>
    <row r="166" ht="12.75">
      <c r="A166" s="82"/>
    </row>
    <row r="167" ht="12.75">
      <c r="A167" s="82"/>
    </row>
    <row r="168" spans="1:5" ht="12.75">
      <c r="A168" s="199" t="s">
        <v>179</v>
      </c>
      <c r="B168" s="199"/>
      <c r="C168" s="199"/>
      <c r="D168" s="199"/>
      <c r="E168" s="199"/>
    </row>
    <row r="169" spans="1:5" ht="15.75">
      <c r="A169" s="201" t="s">
        <v>0</v>
      </c>
      <c r="B169" s="202"/>
      <c r="C169" s="202"/>
      <c r="D169" s="202"/>
      <c r="E169" s="203"/>
    </row>
    <row r="170" spans="1:5" ht="12.75">
      <c r="A170" s="204" t="s">
        <v>141</v>
      </c>
      <c r="B170" s="205"/>
      <c r="C170" s="205"/>
      <c r="D170" s="205"/>
      <c r="E170" s="206"/>
    </row>
    <row r="171" spans="1:5" ht="12.75">
      <c r="A171" s="165"/>
      <c r="B171" s="165"/>
      <c r="C171" s="165"/>
      <c r="D171" s="165"/>
      <c r="E171" s="165"/>
    </row>
    <row r="172" spans="1:2" ht="12.75">
      <c r="A172" s="82">
        <v>19</v>
      </c>
      <c r="B172" s="73" t="s">
        <v>175</v>
      </c>
    </row>
    <row r="173" spans="1:2" ht="6" customHeight="1">
      <c r="A173" s="82"/>
      <c r="B173" s="73"/>
    </row>
    <row r="174" spans="1:2" ht="12.75">
      <c r="A174" s="82"/>
      <c r="B174" s="78" t="s">
        <v>296</v>
      </c>
    </row>
    <row r="175" spans="1:2" ht="12.75">
      <c r="A175" s="82"/>
      <c r="B175" s="78" t="s">
        <v>311</v>
      </c>
    </row>
    <row r="176" spans="1:2" ht="12.75">
      <c r="A176" s="82"/>
      <c r="B176" s="78" t="s">
        <v>297</v>
      </c>
    </row>
    <row r="177" spans="1:2" ht="12.75">
      <c r="A177" s="82"/>
      <c r="B177" s="78" t="s">
        <v>298</v>
      </c>
    </row>
    <row r="178" spans="1:2" ht="12.75">
      <c r="A178" s="82"/>
      <c r="B178" s="78"/>
    </row>
    <row r="179" spans="1:2" ht="12.75">
      <c r="A179" s="82"/>
      <c r="B179" s="78" t="s">
        <v>312</v>
      </c>
    </row>
    <row r="180" spans="1:2" ht="12.75">
      <c r="A180" s="82"/>
      <c r="B180" s="78" t="s">
        <v>263</v>
      </c>
    </row>
    <row r="181" spans="1:2" ht="12.75">
      <c r="A181" s="82"/>
      <c r="B181" s="78" t="s">
        <v>264</v>
      </c>
    </row>
    <row r="182" spans="1:2" ht="12.75">
      <c r="A182" s="82"/>
      <c r="B182" s="78" t="s">
        <v>287</v>
      </c>
    </row>
    <row r="183" spans="1:2" ht="12.75">
      <c r="A183" s="82"/>
      <c r="B183" s="78"/>
    </row>
    <row r="184" spans="1:2" ht="12.75">
      <c r="A184" s="82">
        <v>20</v>
      </c>
      <c r="B184" s="73" t="s">
        <v>176</v>
      </c>
    </row>
    <row r="185" ht="6" customHeight="1">
      <c r="A185" s="82"/>
    </row>
    <row r="186" spans="1:2" ht="12.75">
      <c r="A186" s="82"/>
      <c r="B186" t="s">
        <v>177</v>
      </c>
    </row>
    <row r="187" ht="12.75">
      <c r="A187" s="82"/>
    </row>
    <row r="188" spans="1:2" ht="12.75">
      <c r="A188" s="82">
        <v>21</v>
      </c>
      <c r="B188" s="73" t="s">
        <v>178</v>
      </c>
    </row>
    <row r="189" ht="6" customHeight="1">
      <c r="A189" s="82"/>
    </row>
    <row r="190" spans="1:2" ht="12.75">
      <c r="A190" s="82"/>
      <c r="B190" t="s">
        <v>267</v>
      </c>
    </row>
    <row r="191" spans="1:2" ht="12.75">
      <c r="A191" s="82"/>
      <c r="B191" t="s">
        <v>281</v>
      </c>
    </row>
    <row r="192" ht="12.75">
      <c r="A192" s="82"/>
    </row>
    <row r="193" spans="1:2" ht="12.75" hidden="1">
      <c r="A193" s="82">
        <v>22</v>
      </c>
      <c r="B193" s="73" t="s">
        <v>199</v>
      </c>
    </row>
    <row r="194" ht="6" customHeight="1" hidden="1"/>
    <row r="195" ht="12.75" hidden="1">
      <c r="B195" t="s">
        <v>200</v>
      </c>
    </row>
    <row r="196" ht="12.75" hidden="1">
      <c r="B196" t="s">
        <v>201</v>
      </c>
    </row>
    <row r="197" ht="12.75" hidden="1">
      <c r="B197" t="s">
        <v>202</v>
      </c>
    </row>
    <row r="198" ht="12.75" hidden="1">
      <c r="B198" t="s">
        <v>203</v>
      </c>
    </row>
    <row r="199" ht="12.75" hidden="1">
      <c r="B199" t="s">
        <v>204</v>
      </c>
    </row>
    <row r="206" ht="12.75">
      <c r="A206" s="73" t="s">
        <v>180</v>
      </c>
    </row>
    <row r="207" ht="12.75">
      <c r="A207" s="73" t="s">
        <v>181</v>
      </c>
    </row>
    <row r="208" ht="12.75">
      <c r="A208" s="73"/>
    </row>
    <row r="209" ht="12.75">
      <c r="A209" s="73" t="s">
        <v>182</v>
      </c>
    </row>
    <row r="210" ht="12.75">
      <c r="A210" s="73"/>
    </row>
    <row r="211" ht="12.75">
      <c r="A211" s="73"/>
    </row>
    <row r="212" ht="12.75">
      <c r="A212" s="73"/>
    </row>
    <row r="213" ht="12.75">
      <c r="A213" s="73"/>
    </row>
    <row r="214" ht="12.75">
      <c r="A214" s="73"/>
    </row>
    <row r="215" ht="12.75">
      <c r="A215" s="73"/>
    </row>
    <row r="216" ht="12.75">
      <c r="A216" s="73"/>
    </row>
    <row r="217" ht="12.75">
      <c r="A217" s="73"/>
    </row>
    <row r="218" ht="12.75">
      <c r="A218" s="73"/>
    </row>
    <row r="219" ht="12.75">
      <c r="A219" s="73"/>
    </row>
    <row r="220" ht="12.75">
      <c r="A220" s="73"/>
    </row>
    <row r="221" ht="12.75">
      <c r="A221" s="73"/>
    </row>
    <row r="222" ht="12.75">
      <c r="A222" s="73"/>
    </row>
    <row r="223" ht="12.75">
      <c r="A223" s="73"/>
    </row>
    <row r="224" ht="12.75">
      <c r="A224" s="73"/>
    </row>
    <row r="225" spans="1:6" ht="12.75">
      <c r="A225" s="73"/>
      <c r="B225" s="199"/>
      <c r="C225" s="199"/>
      <c r="D225" s="199"/>
      <c r="E225" s="199"/>
      <c r="F225" s="199"/>
    </row>
    <row r="226" ht="12.75">
      <c r="A226" s="73"/>
    </row>
    <row r="227" spans="1:5" ht="12.75">
      <c r="A227" s="199" t="s">
        <v>268</v>
      </c>
      <c r="B227" s="199"/>
      <c r="C227" s="199"/>
      <c r="D227" s="199"/>
      <c r="E227" s="199"/>
    </row>
  </sheetData>
  <mergeCells count="17">
    <mergeCell ref="B225:F225"/>
    <mergeCell ref="A3:E3"/>
    <mergeCell ref="A2:E2"/>
    <mergeCell ref="A5:E5"/>
    <mergeCell ref="A60:E60"/>
    <mergeCell ref="A6:E6"/>
    <mergeCell ref="A7:E7"/>
    <mergeCell ref="A227:E227"/>
    <mergeCell ref="A4:E4"/>
    <mergeCell ref="A117:E117"/>
    <mergeCell ref="A118:E118"/>
    <mergeCell ref="A116:E116"/>
    <mergeCell ref="A61:E61"/>
    <mergeCell ref="A62:E62"/>
    <mergeCell ref="A168:E168"/>
    <mergeCell ref="A169:E169"/>
    <mergeCell ref="A170:E170"/>
  </mergeCells>
  <printOptions horizontalCentered="1"/>
  <pageMargins left="0.5511811023622047" right="0.5511811023622047" top="0.984251968503937" bottom="0.64" header="0.5118110236220472" footer="0.5118110236220472"/>
  <pageSetup horizontalDpi="300" verticalDpi="300" orientation="portrait" r:id="rId1"/>
  <rowBreaks count="2" manualBreakCount="2">
    <brk id="116" max="4" man="1"/>
    <brk id="16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57"/>
  <sheetViews>
    <sheetView zoomScale="75" zoomScaleNormal="75" workbookViewId="0" topLeftCell="K1">
      <selection activeCell="K7" sqref="K7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0</v>
      </c>
      <c r="V1" s="2" t="s">
        <v>49</v>
      </c>
    </row>
    <row r="2" spans="1:22" ht="15.75">
      <c r="A2" s="2" t="s">
        <v>205</v>
      </c>
      <c r="V2" s="2" t="s">
        <v>205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123"/>
      <c r="B4" s="16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27" t="s">
        <v>101</v>
      </c>
      <c r="J4" s="18"/>
      <c r="K4" s="19" t="s">
        <v>102</v>
      </c>
      <c r="L4" s="20" t="s">
        <v>103</v>
      </c>
      <c r="M4" s="20"/>
      <c r="N4" s="19" t="s">
        <v>102</v>
      </c>
      <c r="O4" s="18"/>
      <c r="P4" s="18"/>
      <c r="Q4" s="19" t="s">
        <v>20</v>
      </c>
      <c r="R4" s="18"/>
      <c r="S4" s="21" t="s">
        <v>19</v>
      </c>
      <c r="T4" s="19" t="s">
        <v>104</v>
      </c>
      <c r="V4" s="15" t="s">
        <v>15</v>
      </c>
      <c r="W4" s="16" t="s">
        <v>1</v>
      </c>
      <c r="X4" s="17" t="s">
        <v>212</v>
      </c>
      <c r="Y4" s="17" t="s">
        <v>44</v>
      </c>
      <c r="Z4" s="17" t="s">
        <v>45</v>
      </c>
      <c r="AA4" s="17" t="s">
        <v>46</v>
      </c>
      <c r="AB4" s="17" t="s">
        <v>105</v>
      </c>
      <c r="AC4" s="17" t="s">
        <v>48</v>
      </c>
      <c r="AD4" s="17" t="s">
        <v>47</v>
      </c>
      <c r="AE4" s="17" t="s">
        <v>50</v>
      </c>
      <c r="AF4" s="17" t="s">
        <v>106</v>
      </c>
      <c r="AG4" s="18"/>
      <c r="AH4" s="19" t="s">
        <v>107</v>
      </c>
      <c r="AJ4" s="19" t="s">
        <v>20</v>
      </c>
      <c r="AK4" s="18"/>
      <c r="AL4" s="21" t="s">
        <v>19</v>
      </c>
      <c r="AM4" s="19" t="s">
        <v>104</v>
      </c>
    </row>
    <row r="5" spans="1:39" ht="13.5" thickBot="1">
      <c r="A5" s="124" t="s">
        <v>108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128"/>
      <c r="K5" s="25"/>
      <c r="L5" s="18" t="s">
        <v>10</v>
      </c>
      <c r="M5" s="18" t="s">
        <v>11</v>
      </c>
      <c r="N5" s="19" t="s">
        <v>117</v>
      </c>
      <c r="O5" s="18"/>
      <c r="P5" s="26"/>
      <c r="Q5" s="27"/>
      <c r="R5" s="26"/>
      <c r="S5" s="27"/>
      <c r="T5" s="28"/>
      <c r="V5" s="22" t="s">
        <v>108</v>
      </c>
      <c r="W5" s="23">
        <v>1</v>
      </c>
      <c r="X5" s="29" t="s">
        <v>211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125"/>
      <c r="B6" s="32"/>
      <c r="C6" s="13"/>
      <c r="D6" s="13"/>
      <c r="E6" s="13"/>
      <c r="F6" s="13"/>
      <c r="G6" s="13"/>
      <c r="H6" s="13"/>
      <c r="I6" s="128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122" t="s">
        <v>16</v>
      </c>
      <c r="B7" s="33">
        <v>11717171</v>
      </c>
      <c r="C7" s="34">
        <v>15709428</v>
      </c>
      <c r="D7" s="34">
        <v>669901.26</v>
      </c>
      <c r="E7" s="34">
        <v>1868706.49</v>
      </c>
      <c r="F7" s="34">
        <f>5734855.64</f>
        <v>5734855.64</v>
      </c>
      <c r="G7" s="34">
        <v>0</v>
      </c>
      <c r="H7" s="34">
        <v>0</v>
      </c>
      <c r="I7" s="129">
        <f>AH7</f>
        <v>557525865.65</v>
      </c>
      <c r="J7" s="9"/>
      <c r="K7" s="35">
        <f>SUM(B7:I7)-B7</f>
        <v>581508757.04</v>
      </c>
      <c r="L7" s="11"/>
      <c r="M7" s="11"/>
      <c r="N7" s="35">
        <f>K7-L7</f>
        <v>581508757.04</v>
      </c>
      <c r="O7" s="11"/>
      <c r="P7" s="11"/>
      <c r="Q7" s="35">
        <v>358674721</v>
      </c>
      <c r="R7" s="11"/>
      <c r="S7" s="35">
        <f>K7-Q7</f>
        <v>222834036.03999996</v>
      </c>
      <c r="T7" s="36">
        <f>S7/Q7</f>
        <v>0.6212705356506013</v>
      </c>
      <c r="V7" s="25" t="s">
        <v>16</v>
      </c>
      <c r="W7" s="33">
        <v>43235894.67</v>
      </c>
      <c r="X7" s="34">
        <v>41749389</v>
      </c>
      <c r="Y7" s="34">
        <f>2070000*3.8</f>
        <v>7866000</v>
      </c>
      <c r="Z7" s="34">
        <v>460650027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557525865.65</v>
      </c>
      <c r="AJ7" s="35">
        <v>346259892</v>
      </c>
      <c r="AK7" s="11"/>
      <c r="AL7" s="35">
        <f>AH7-AJ7</f>
        <v>211265973.64999998</v>
      </c>
      <c r="AM7" s="36">
        <f>AL7/AJ7</f>
        <v>0.6101370055588188</v>
      </c>
    </row>
    <row r="8" spans="1:39" ht="21" customHeight="1" thickTop="1">
      <c r="A8" s="122" t="s">
        <v>21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130"/>
      <c r="J8" s="9"/>
      <c r="K8" s="39"/>
      <c r="L8" s="11"/>
      <c r="M8" s="11"/>
      <c r="N8" s="39"/>
      <c r="O8" s="11"/>
      <c r="P8" s="11"/>
      <c r="Q8" s="39"/>
      <c r="R8" s="11"/>
      <c r="S8" s="39"/>
      <c r="T8" s="36"/>
      <c r="V8" s="25" t="s">
        <v>21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1"/>
      <c r="AL8" s="39"/>
      <c r="AM8" s="36"/>
    </row>
    <row r="9" spans="1:39" ht="34.5" customHeight="1">
      <c r="A9" s="122" t="s">
        <v>109</v>
      </c>
      <c r="B9" s="37">
        <f>107286+69.32+9.73</f>
        <v>107365.05</v>
      </c>
      <c r="C9" s="38">
        <v>137175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130">
        <f>AH9</f>
        <v>35317885.6</v>
      </c>
      <c r="J9" s="9"/>
      <c r="K9" s="39">
        <f>SUM(B9:I9)</f>
        <v>36006551.34</v>
      </c>
      <c r="L9" s="11"/>
      <c r="M9" s="11"/>
      <c r="N9" s="39">
        <f>K9</f>
        <v>36006551.34</v>
      </c>
      <c r="O9" s="11"/>
      <c r="P9" s="11"/>
      <c r="Q9" s="39">
        <v>17007728</v>
      </c>
      <c r="R9" s="11"/>
      <c r="S9" s="39">
        <f>K9-Q9</f>
        <v>18998823.340000004</v>
      </c>
      <c r="T9" s="36">
        <f>S9/Q9</f>
        <v>1.117070036632759</v>
      </c>
      <c r="V9" s="25" t="s">
        <v>109</v>
      </c>
      <c r="W9" s="37">
        <v>14351063.11</v>
      </c>
      <c r="X9" s="38">
        <v>143805</v>
      </c>
      <c r="Y9" s="38">
        <f>8000*3.8</f>
        <v>30400</v>
      </c>
      <c r="Z9" s="38">
        <v>20390000</v>
      </c>
      <c r="AA9" s="38">
        <v>210211.49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35317885.6</v>
      </c>
      <c r="AJ9" s="39">
        <v>11263550</v>
      </c>
      <c r="AK9" s="11"/>
      <c r="AL9" s="39">
        <f>AH9-AJ9</f>
        <v>24054335.6</v>
      </c>
      <c r="AM9" s="36">
        <f>AL9/AJ9</f>
        <v>2.135590963772523</v>
      </c>
    </row>
    <row r="10" spans="1:39" ht="33" customHeight="1">
      <c r="A10" s="122" t="s">
        <v>110</v>
      </c>
      <c r="B10" s="37"/>
      <c r="C10" s="38"/>
      <c r="D10" s="38"/>
      <c r="E10" s="38"/>
      <c r="F10" s="38"/>
      <c r="G10" s="38"/>
      <c r="H10" s="38"/>
      <c r="I10" s="130"/>
      <c r="J10" s="9"/>
      <c r="K10" s="39"/>
      <c r="L10" s="11"/>
      <c r="M10" s="11"/>
      <c r="N10" s="39"/>
      <c r="O10" s="11"/>
      <c r="P10" s="11"/>
      <c r="Q10" s="39"/>
      <c r="R10" s="11"/>
      <c r="S10" s="39"/>
      <c r="T10" s="28"/>
      <c r="V10" s="25" t="s">
        <v>110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1"/>
      <c r="AL10" s="39"/>
      <c r="AM10" s="28"/>
    </row>
    <row r="11" spans="1:39" ht="12.75" customHeight="1">
      <c r="A11" s="122" t="s">
        <v>111</v>
      </c>
      <c r="B11" s="37"/>
      <c r="C11" s="38"/>
      <c r="D11" s="38"/>
      <c r="E11" s="38"/>
      <c r="F11" s="38"/>
      <c r="G11" s="38"/>
      <c r="H11" s="38"/>
      <c r="I11" s="130"/>
      <c r="J11" s="9"/>
      <c r="K11" s="39"/>
      <c r="L11" s="11"/>
      <c r="M11" s="11"/>
      <c r="N11" s="39"/>
      <c r="O11" s="11"/>
      <c r="P11" s="11"/>
      <c r="Q11" s="39"/>
      <c r="R11" s="11"/>
      <c r="S11" s="39"/>
      <c r="T11" s="28"/>
      <c r="V11" s="25" t="s">
        <v>111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1"/>
      <c r="AL11" s="39"/>
      <c r="AM11" s="28"/>
    </row>
    <row r="12" spans="1:39" ht="13.5" customHeight="1">
      <c r="A12" s="122" t="s">
        <v>112</v>
      </c>
      <c r="B12" s="37">
        <f aca="true" t="shared" si="0" ref="B12:I12">B15+B13+B14</f>
        <v>15485854.44</v>
      </c>
      <c r="C12" s="38">
        <f t="shared" si="0"/>
        <v>-310053.85999999987</v>
      </c>
      <c r="D12" s="38">
        <f t="shared" si="0"/>
        <v>106238.92</v>
      </c>
      <c r="E12" s="38">
        <f t="shared" si="0"/>
        <v>25638.399999999998</v>
      </c>
      <c r="F12" s="38">
        <f t="shared" si="0"/>
        <v>3047939.4099999997</v>
      </c>
      <c r="G12" s="38">
        <f t="shared" si="0"/>
        <v>-78682</v>
      </c>
      <c r="H12" s="38">
        <f t="shared" si="0"/>
        <v>-1582466.69</v>
      </c>
      <c r="I12" s="130">
        <f t="shared" si="0"/>
        <v>47200822.41</v>
      </c>
      <c r="J12" s="9"/>
      <c r="K12" s="39">
        <f aca="true" t="shared" si="1" ref="K12:K19">SUM(B12:I12)</f>
        <v>63895291.029999994</v>
      </c>
      <c r="L12" s="11"/>
      <c r="M12" s="11"/>
      <c r="N12" s="39">
        <f>K12-L12</f>
        <v>63895291.029999994</v>
      </c>
      <c r="O12" s="11"/>
      <c r="P12" s="11"/>
      <c r="Q12" s="39">
        <f>Q15+Q13</f>
        <v>64240257</v>
      </c>
      <c r="R12" s="11"/>
      <c r="S12" s="39">
        <f>K12-Q12</f>
        <v>-344965.97000000626</v>
      </c>
      <c r="T12" s="36">
        <f>S12/Q12</f>
        <v>-0.0053699344633693835</v>
      </c>
      <c r="V12" s="25" t="s">
        <v>112</v>
      </c>
      <c r="W12" s="38">
        <f aca="true" t="shared" si="2" ref="W12:AF12">W15+W13+W14</f>
        <v>-28751025.660000004</v>
      </c>
      <c r="X12" s="38">
        <f t="shared" si="2"/>
        <v>-3408807.5</v>
      </c>
      <c r="Y12" s="38">
        <f t="shared" si="2"/>
        <v>729560</v>
      </c>
      <c r="Z12" s="38">
        <f t="shared" si="2"/>
        <v>78247983</v>
      </c>
      <c r="AA12" s="38">
        <f t="shared" si="2"/>
        <v>428212.75</v>
      </c>
      <c r="AB12" s="38">
        <f t="shared" si="2"/>
        <v>390590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47200822.41</v>
      </c>
      <c r="AJ12" s="39">
        <f>AJ15+AJ13</f>
        <v>58840816</v>
      </c>
      <c r="AK12" s="11"/>
      <c r="AL12" s="39">
        <f>AH12-AJ12</f>
        <v>-11639993.590000004</v>
      </c>
      <c r="AM12" s="36">
        <f>AL12/AJ12</f>
        <v>-0.19782175675469904</v>
      </c>
    </row>
    <row r="13" spans="1:39" ht="36" customHeight="1">
      <c r="A13" s="122" t="s">
        <v>26</v>
      </c>
      <c r="B13" s="6">
        <f>19423154.56+70213.7</f>
        <v>19493368.259999998</v>
      </c>
      <c r="C13" s="7">
        <f>109180+504889</f>
        <v>614069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131">
        <f aca="true" t="shared" si="4" ref="I13:I19">AH13</f>
        <v>27108834.56</v>
      </c>
      <c r="J13" s="9"/>
      <c r="K13" s="42">
        <f t="shared" si="1"/>
        <v>50572869.78999999</v>
      </c>
      <c r="L13" s="11"/>
      <c r="M13" s="11"/>
      <c r="N13" s="42">
        <f>K13</f>
        <v>50572869.78999999</v>
      </c>
      <c r="O13" s="11"/>
      <c r="P13" s="11"/>
      <c r="Q13" s="42">
        <v>29135318</v>
      </c>
      <c r="R13" s="11"/>
      <c r="S13" s="42">
        <f>K13-Q13</f>
        <v>21437551.78999999</v>
      </c>
      <c r="T13" s="36">
        <f>S13/Q13</f>
        <v>0.7357926139676935</v>
      </c>
      <c r="V13" s="25" t="s">
        <v>26</v>
      </c>
      <c r="W13" s="40">
        <v>25304583.4</v>
      </c>
      <c r="X13" s="41">
        <v>85037.5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27108834.56</v>
      </c>
      <c r="AJ13" s="42">
        <v>16915356</v>
      </c>
      <c r="AK13" s="11"/>
      <c r="AL13" s="42">
        <f>AH13-AJ13</f>
        <v>10193478.559999999</v>
      </c>
      <c r="AM13" s="36">
        <f>AL13/AJ13</f>
        <v>0.6026168506296881</v>
      </c>
    </row>
    <row r="14" spans="1:39" ht="36" customHeight="1">
      <c r="A14" s="122" t="s">
        <v>113</v>
      </c>
      <c r="B14" s="40">
        <v>96365.72</v>
      </c>
      <c r="C14" s="41">
        <v>923227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132">
        <f t="shared" si="4"/>
        <v>14336895.65</v>
      </c>
      <c r="J14" s="9"/>
      <c r="K14" s="42">
        <f t="shared" si="1"/>
        <v>15481215.38</v>
      </c>
      <c r="L14" s="11"/>
      <c r="M14" s="11"/>
      <c r="N14" s="39"/>
      <c r="O14" s="11"/>
      <c r="P14" s="11"/>
      <c r="Q14" s="39"/>
      <c r="R14" s="11"/>
      <c r="S14" s="39"/>
      <c r="T14" s="36"/>
      <c r="V14" s="25" t="s">
        <v>113</v>
      </c>
      <c r="W14" s="37">
        <v>4780909</v>
      </c>
      <c r="X14" s="38">
        <v>1547030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14336895.65</v>
      </c>
      <c r="AJ14" s="39"/>
      <c r="AK14" s="11"/>
      <c r="AL14" s="39"/>
      <c r="AM14" s="36"/>
    </row>
    <row r="15" spans="1:39" ht="41.25" customHeight="1">
      <c r="A15" s="122" t="s">
        <v>114</v>
      </c>
      <c r="B15" s="37">
        <f>-3736200.1-367679.44</f>
        <v>-4103879.54</v>
      </c>
      <c r="C15" s="38">
        <f>-388743-504889-953717.86</f>
        <v>-1847349.8599999999</v>
      </c>
      <c r="D15" s="38">
        <v>37462.75</v>
      </c>
      <c r="E15" s="38">
        <v>-3008.86</v>
      </c>
      <c r="F15" s="38">
        <f>479118.93-815081.07</f>
        <v>-335962.13999999996</v>
      </c>
      <c r="G15" s="38">
        <v>-78682</v>
      </c>
      <c r="H15" s="38">
        <f>-59225-1523241.69</f>
        <v>-1582466.69</v>
      </c>
      <c r="I15" s="130">
        <f t="shared" si="4"/>
        <v>5755092.199999998</v>
      </c>
      <c r="J15" s="9"/>
      <c r="K15" s="39">
        <f t="shared" si="1"/>
        <v>-2158794.1400000015</v>
      </c>
      <c r="L15" s="11"/>
      <c r="M15" s="11"/>
      <c r="N15" s="39">
        <f>K15-L15</f>
        <v>-2158794.1400000015</v>
      </c>
      <c r="O15" s="11"/>
      <c r="P15" s="11"/>
      <c r="Q15" s="39">
        <v>35104939</v>
      </c>
      <c r="R15" s="11"/>
      <c r="S15" s="39">
        <f>K15-Q15</f>
        <v>-37263733.14</v>
      </c>
      <c r="T15" s="36">
        <f>S15/Q15</f>
        <v>-1.0614954533890517</v>
      </c>
      <c r="V15" s="25" t="s">
        <v>114</v>
      </c>
      <c r="W15" s="43">
        <f>-57411387.68-8425130.38+7000000</f>
        <v>-58836518.06</v>
      </c>
      <c r="X15" s="38">
        <v>-5040875</v>
      </c>
      <c r="Y15" s="38">
        <f>-80000*3.8</f>
        <v>-304000</v>
      </c>
      <c r="Z15" s="38">
        <v>70614983</v>
      </c>
      <c r="AA15" s="38">
        <v>334895.44</v>
      </c>
      <c r="AB15" s="38">
        <v>-534196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5755092.199999998</v>
      </c>
      <c r="AJ15" s="39">
        <v>41925460</v>
      </c>
      <c r="AK15" s="11"/>
      <c r="AL15" s="39">
        <f>AH15-AJ15</f>
        <v>-36170367.800000004</v>
      </c>
      <c r="AM15" s="36">
        <f>AL15/AJ15</f>
        <v>-0.8627303743357856</v>
      </c>
    </row>
    <row r="16" spans="1:39" ht="34.5" customHeight="1">
      <c r="A16" s="122" t="s">
        <v>14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132">
        <f t="shared" si="4"/>
        <v>0</v>
      </c>
      <c r="J16" s="9"/>
      <c r="K16" s="42">
        <f t="shared" si="1"/>
        <v>367679.44</v>
      </c>
      <c r="L16" s="11"/>
      <c r="M16" s="11"/>
      <c r="N16" s="42">
        <v>0</v>
      </c>
      <c r="O16" s="11"/>
      <c r="P16" s="11"/>
      <c r="Q16" s="42">
        <v>0</v>
      </c>
      <c r="R16" s="11"/>
      <c r="S16" s="42"/>
      <c r="T16" s="28"/>
      <c r="V16" s="25" t="s">
        <v>14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1"/>
      <c r="AL16" s="42">
        <v>0</v>
      </c>
      <c r="AM16" s="28"/>
    </row>
    <row r="17" spans="1:39" ht="37.5" customHeight="1">
      <c r="A17" s="122" t="s">
        <v>18</v>
      </c>
      <c r="B17" s="37">
        <f>B15+B16</f>
        <v>-3736200.1</v>
      </c>
      <c r="C17" s="38">
        <f aca="true" t="shared" si="5" ref="C17:H17">C15</f>
        <v>-1847349.8599999999</v>
      </c>
      <c r="D17" s="38">
        <f t="shared" si="5"/>
        <v>37462.75</v>
      </c>
      <c r="E17" s="38">
        <f t="shared" si="5"/>
        <v>-3008.86</v>
      </c>
      <c r="F17" s="38">
        <f t="shared" si="5"/>
        <v>-335962.13999999996</v>
      </c>
      <c r="G17" s="38">
        <f t="shared" si="5"/>
        <v>-78682</v>
      </c>
      <c r="H17" s="38">
        <f t="shared" si="5"/>
        <v>-1582466.69</v>
      </c>
      <c r="I17" s="130">
        <f t="shared" si="4"/>
        <v>5755092.199999998</v>
      </c>
      <c r="J17" s="9"/>
      <c r="K17" s="39">
        <f t="shared" si="1"/>
        <v>-1791114.700000002</v>
      </c>
      <c r="L17" s="11"/>
      <c r="M17" s="11"/>
      <c r="N17" s="39">
        <f>N15-N16</f>
        <v>-2158794.1400000015</v>
      </c>
      <c r="O17" s="11"/>
      <c r="P17" s="11"/>
      <c r="Q17" s="39">
        <f>Q15-Q16</f>
        <v>35104939</v>
      </c>
      <c r="R17" s="11"/>
      <c r="S17" s="39">
        <f>K17-Q17</f>
        <v>-36896053.7</v>
      </c>
      <c r="T17" s="36">
        <f>S17/Q17</f>
        <v>-1.0510217294495228</v>
      </c>
      <c r="V17" s="25" t="s">
        <v>18</v>
      </c>
      <c r="W17" s="37">
        <f aca="true" t="shared" si="6" ref="W17:AF17">W15-W16</f>
        <v>-58836518.06</v>
      </c>
      <c r="X17" s="38">
        <f t="shared" si="6"/>
        <v>-5040875</v>
      </c>
      <c r="Y17" s="38">
        <f t="shared" si="6"/>
        <v>-304000</v>
      </c>
      <c r="Z17" s="38">
        <f t="shared" si="6"/>
        <v>70614983</v>
      </c>
      <c r="AA17" s="38">
        <f t="shared" si="6"/>
        <v>334895.44</v>
      </c>
      <c r="AB17" s="38">
        <f t="shared" si="6"/>
        <v>-534196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5755092.199999998</v>
      </c>
      <c r="AJ17" s="39">
        <f>AJ15-AJ16</f>
        <v>41925460</v>
      </c>
      <c r="AK17" s="11"/>
      <c r="AL17" s="39">
        <f>AH17-AJ17</f>
        <v>-36170367.800000004</v>
      </c>
      <c r="AM17" s="36">
        <f>AL17/AJ17</f>
        <v>-0.8627303743357856</v>
      </c>
    </row>
    <row r="18" spans="1:39" ht="35.25" customHeight="1">
      <c r="A18" s="122" t="s">
        <v>115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132">
        <f t="shared" si="4"/>
        <v>41514882.396753415</v>
      </c>
      <c r="J18" s="9"/>
      <c r="K18" s="42">
        <f t="shared" si="1"/>
        <v>41528663.95275342</v>
      </c>
      <c r="L18" s="11"/>
      <c r="M18" s="11"/>
      <c r="N18" s="42">
        <f>K18</f>
        <v>41528663.95275342</v>
      </c>
      <c r="O18" s="11"/>
      <c r="P18" s="11"/>
      <c r="Q18" s="42">
        <v>28609038</v>
      </c>
      <c r="R18" s="11"/>
      <c r="S18" s="42">
        <f>K18-Q18</f>
        <v>12919625.952753417</v>
      </c>
      <c r="T18" s="36">
        <f>S18/Q18</f>
        <v>0.4515924636387081</v>
      </c>
      <c r="V18" s="25" t="s">
        <v>115</v>
      </c>
      <c r="W18" s="40">
        <v>0</v>
      </c>
      <c r="X18" s="134">
        <f>X17*0.1193*298/365</f>
        <v>-490986.7492465754</v>
      </c>
      <c r="Y18" s="41">
        <f>Y17*0.4</f>
        <v>-121600</v>
      </c>
      <c r="Z18" s="41">
        <f>Z17*0.6</f>
        <v>42368989.8</v>
      </c>
      <c r="AA18" s="41">
        <v>0</v>
      </c>
      <c r="AB18" s="41">
        <f>AB17*0.2</f>
        <v>-106839.20000000001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41514882.396753415</v>
      </c>
      <c r="AJ18" s="42">
        <v>28592382</v>
      </c>
      <c r="AK18" s="11"/>
      <c r="AL18" s="42">
        <f>AH18-AJ18</f>
        <v>12922500.396753415</v>
      </c>
      <c r="AM18" s="36">
        <f>AL18/AJ18</f>
        <v>0.4519560628685436</v>
      </c>
    </row>
    <row r="19" spans="1:39" ht="42" customHeight="1" thickBot="1">
      <c r="A19" s="126" t="s">
        <v>116</v>
      </c>
      <c r="B19" s="46">
        <f>B17</f>
        <v>-3736200.1</v>
      </c>
      <c r="C19" s="47">
        <f>C17</f>
        <v>-1847349.8599999999</v>
      </c>
      <c r="D19" s="47">
        <f>D17-D18</f>
        <v>22477.65</v>
      </c>
      <c r="E19" s="47">
        <f>E17-E18</f>
        <v>-1805.316</v>
      </c>
      <c r="F19" s="47">
        <f>F17</f>
        <v>-335962.13999999996</v>
      </c>
      <c r="G19" s="47">
        <f>G17</f>
        <v>-78682</v>
      </c>
      <c r="H19" s="47">
        <f>H17</f>
        <v>-1582466.69</v>
      </c>
      <c r="I19" s="133">
        <f t="shared" si="4"/>
        <v>-35759790.19675343</v>
      </c>
      <c r="J19" s="9"/>
      <c r="K19" s="48">
        <f t="shared" si="1"/>
        <v>-43319778.65275343</v>
      </c>
      <c r="L19" s="11"/>
      <c r="M19" s="11"/>
      <c r="N19" s="48">
        <f>N17-N18</f>
        <v>-43687458.09275342</v>
      </c>
      <c r="O19" s="11"/>
      <c r="P19" s="11"/>
      <c r="Q19" s="48">
        <f>Q17-Q18</f>
        <v>6495901</v>
      </c>
      <c r="R19" s="11"/>
      <c r="S19" s="48">
        <f>K19-Q19</f>
        <v>-49815679.65275343</v>
      </c>
      <c r="T19" s="49">
        <f>S19/Q19</f>
        <v>-7.668786770727175</v>
      </c>
      <c r="V19" s="45" t="s">
        <v>116</v>
      </c>
      <c r="W19" s="46">
        <f aca="true" t="shared" si="7" ref="W19:AF19">W17-W18</f>
        <v>-58836518.06</v>
      </c>
      <c r="X19" s="47">
        <f t="shared" si="7"/>
        <v>-4549888.250753425</v>
      </c>
      <c r="Y19" s="47">
        <f t="shared" si="7"/>
        <v>-182400</v>
      </c>
      <c r="Z19" s="47">
        <f t="shared" si="7"/>
        <v>28245993.200000003</v>
      </c>
      <c r="AA19" s="47">
        <f t="shared" si="7"/>
        <v>334895.44</v>
      </c>
      <c r="AB19" s="47">
        <f t="shared" si="7"/>
        <v>-427356.8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-35759790.19675343</v>
      </c>
      <c r="AJ19" s="48">
        <f>AJ17-AJ18</f>
        <v>13333078</v>
      </c>
      <c r="AK19" s="11"/>
      <c r="AL19" s="48">
        <f>AH19-AJ19</f>
        <v>-49092868.19675343</v>
      </c>
      <c r="AM19" s="49">
        <f>AL19/AJ19</f>
        <v>-3.68203562573874</v>
      </c>
    </row>
    <row r="20" spans="1:33" ht="26.25" customHeight="1">
      <c r="A20" s="50"/>
      <c r="V20" t="s">
        <v>213</v>
      </c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PSCI</cp:lastModifiedBy>
  <cp:lastPrinted>2001-05-25T11:54:16Z</cp:lastPrinted>
  <dcterms:created xsi:type="dcterms:W3CDTF">1999-11-26T07:09:59Z</dcterms:created>
  <dcterms:modified xsi:type="dcterms:W3CDTF">2001-05-25T04:21:23Z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